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04.xml" ContentType="application/vnd.openxmlformats-officedocument.spreadsheetml.table+xml"/>
  <Override PartName="/xl/tables/table105.xml" ContentType="application/vnd.openxmlformats-officedocument.spreadsheetml.table+xml"/>
  <Override PartName="/xl/tables/table106.xml" ContentType="application/vnd.openxmlformats-officedocument.spreadsheetml.table+xml"/>
  <Override PartName="/xl/tables/table107.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13500" windowHeight="17895" tabRatio="500" firstSheet="9" activeTab="9"/>
  </bookViews>
  <sheets>
    <sheet name="Orientações" sheetId="1" state="hidden" r:id="rId1"/>
    <sheet name="Servente" sheetId="2" state="hidden" r:id="rId2"/>
    <sheet name="Auxiliar Administrativo" sheetId="11" r:id="rId3"/>
    <sheet name="Copeiro (a)" sheetId="5" r:id="rId4"/>
    <sheet name="Portaria" sheetId="6" r:id="rId5"/>
    <sheet name="Motorista Interestadual" sheetId="8" r:id="rId6"/>
    <sheet name="Eletricista" sheetId="7" r:id="rId7"/>
    <sheet name="Aulixiar de Manutenção Predial" sheetId="16" r:id="rId8"/>
    <sheet name="Diárias" sheetId="15" r:id="rId9"/>
    <sheet name="Uniformes" sheetId="12" r:id="rId10"/>
    <sheet name="Materiais e Equipamentos" sheetId="14" r:id="rId11"/>
    <sheet name="EPC" sheetId="17" r:id="rId12"/>
    <sheet name="RESUMO" sheetId="13" r:id="rId13"/>
  </sheets>
  <definedNames>
    <definedName name="SalarioBase">Servente!$D$5</definedName>
    <definedName name="Salário_Normativo_da_Categoria_Profissional">Servente!$D$5</definedName>
    <definedName name="Total1">Servente!#REF!</definedName>
    <definedName name="Total2.1">Servente!#REF!</definedName>
    <definedName name="Total2.2">Servente!#REF!</definedName>
    <definedName name="Total2.3">Servente!#REF!</definedName>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s>
  <calcPr calcId="144525"/>
</workbook>
</file>

<file path=xl/comments1.xml><?xml version="1.0" encoding="utf-8"?>
<comments xmlns="http://schemas.openxmlformats.org/spreadsheetml/2006/main">
  <authors>
    <author xml:space="preserve"> </author>
  </authors>
  <commentList>
    <comment ref="G16" authorId="0">
      <text>
        <r>
          <rPr>
            <sz val="9"/>
            <rFont val="Tahoma"/>
            <charset val="134"/>
          </rPr>
          <t>Daniel Carlos:
Valores que constam no caderno técnico. A unidade deve realizar pesquisa de mercado para o levantamento do percentual médio destas rubricas.</t>
        </r>
      </text>
    </comment>
  </commentList>
</comments>
</file>

<file path=xl/sharedStrings.xml><?xml version="1.0" encoding="utf-8"?>
<sst xmlns="http://schemas.openxmlformats.org/spreadsheetml/2006/main" count="2399" uniqueCount="494">
  <si>
    <t>Orientações para utilização desta Planilha</t>
  </si>
  <si>
    <t>Esta planilha tem como finalidade orientar o planejamento da contratação e fundamentar seu custo estimado , conforme item 2.9, b, do Anexo V da Instrução Normativa SEGES/MPDG nº 05, de 2017.</t>
  </si>
  <si>
    <t>Além dos cálculos e valores constantes na própria IN 05/2017, foi utilizada a metodologia de cálculo constante no caderno técnico de limpeza do Ministério do Planejamento.</t>
  </si>
  <si>
    <r>
      <rPr>
        <sz val="11"/>
        <color rgb="FF000000"/>
        <rFont val="Calibri"/>
        <charset val="134"/>
      </rPr>
      <t xml:space="preserve">Para não haver alteração nas fórmulas constantes nas planilhas, recomenda-se, com exceção da aba "Ambientes", que somente se altere os valores que constam células com fundo </t>
    </r>
    <r>
      <rPr>
        <u/>
        <sz val="11"/>
        <color rgb="FFF4B183"/>
        <rFont val="Calibri"/>
        <charset val="134"/>
      </rPr>
      <t>laranja.</t>
    </r>
  </si>
  <si>
    <t>A lista de materiais, equipamentos, EPIs e Uniformes, bem como seus respectivos valores unitários são meramente exemplificativos. Cabe à equipe de planejamento realizar o levantamento dos materiais e respectivos quantitativos necessários à execução dos serviços, bem como realizar pesquisa de preço de cada insumo, inserindo-os na planilha.</t>
  </si>
  <si>
    <t>Esta planilha calcula automaticamente o quantitativo de área para cada tipo previsto na IN 05/2017, de acordo com os ambientes inseridos na tabela correspondente. Caso a unidade já tenha o quantitativo consolidade, decorrente de estimativas pretéritas, basta inserir os valores diretamente na planilha "Tipos de Área e Produtividade", na coluna "Quantidade" (Obs. Recomenda-se apagar todo o conteúdo da coluna antes de inserir os valores).</t>
  </si>
  <si>
    <t xml:space="preserve">As produtividades que a unidade deseja utilizar deve ser inserida na planilha "Tipos de Área e Produtividade" no campo "Produtividade Personalizada". A planilha calculará automaticamente o quantitativo de serventes previsto, com base na quantidade demandada e na produtividade inserida. </t>
  </si>
  <si>
    <t>A planilha automaticamente arredonda o quantitativo de serventes, realizando os devidos ajustes nas produtividades e as utilizando para os demais cálculos da planilha.</t>
  </si>
  <si>
    <t>Caso a unidade opte pela não utilização do encarregado (recomendado nos casos de quantitativos pequenos de servente), os valores da coluna "Preço Homem Mês - Encarregado" deve ser removido.</t>
  </si>
  <si>
    <t>Foi utilizado os percentuais de lucro e custos indireitos do caderno técnico de limpeza. Recomenda-se que seja realizada pesquisa de mercado para apuração do média de mercado para tais rubricas.</t>
  </si>
  <si>
    <t>Em caso de dúvidas ou sugestões, entrar em contato por meio do e-mail: daniel.souza@ifpb.edu.br ou danieloxyjp@gmail.com</t>
  </si>
  <si>
    <t>Última atualização: 28/02/2019</t>
  </si>
  <si>
    <t xml:space="preserve"> Daniel Carlos Cruz de Souza</t>
  </si>
  <si>
    <t>Coordenação de Planejamento em Aquisições - Reitoria/IFPB</t>
  </si>
  <si>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</si>
  <si>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</si>
  <si>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</si>
  <si>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</si>
  <si>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</si>
  <si>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</si>
  <si>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</si>
  <si>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</si>
  <si>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</si>
  <si>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</si>
  <si>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</si>
  <si>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</si>
  <si>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</si>
  <si>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</si>
  <si>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</si>
  <si>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</si>
  <si>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</si>
  <si>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</si>
  <si>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</si>
  <si>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</si>
  <si>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</si>
  <si>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</si>
  <si>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</si>
  <si>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</si>
  <si>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</si>
  <si>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</si>
  <si>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</si>
  <si>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</si>
  <si>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</si>
  <si>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</si>
  <si>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</si>
  <si>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</si>
  <si>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</si>
  <si>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</si>
  <si>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</si>
  <si>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</si>
  <si>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</si>
  <si>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</si>
  <si>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</si>
  <si>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</si>
  <si>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</si>
  <si>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</si>
  <si>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</si>
  <si>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</si>
  <si>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</si>
  <si>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</si>
  <si>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</si>
  <si>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</si>
  <si>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</si>
  <si>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</si>
  <si>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</si>
  <si>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</si>
  <si>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</si>
  <si>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</si>
  <si>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</si>
  <si>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</si>
  <si>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</si>
  <si>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</si>
  <si>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</si>
  <si>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</si>
  <si>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</si>
  <si>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</si>
  <si>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</si>
  <si>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</si>
  <si>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</si>
  <si>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</si>
  <si>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</si>
  <si>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</si>
  <si>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</si>
  <si>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</si>
  <si>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</si>
  <si>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</si>
  <si>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</si>
  <si>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</si>
  <si>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</si>
  <si>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</si>
  <si>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</si>
  <si>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</si>
  <si>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</si>
  <si>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</si>
  <si>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</si>
  <si>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</si>
  <si>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</si>
  <si>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</si>
  <si>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</si>
  <si>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</si>
  <si>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</si>
  <si>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</si>
  <si>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</si>
  <si>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</si>
  <si>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</si>
  <si>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</si>
  <si>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</si>
  <si>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</si>
  <si>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</si>
  <si>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</si>
  <si>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</si>
  <si>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</si>
  <si>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</si>
  <si>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</si>
  <si>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</si>
  <si>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</si>
  <si>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</si>
  <si>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</si>
  <si>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</si>
  <si>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</si>
  <si>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</si>
  <si>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</si>
  <si>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</si>
  <si>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</si>
  <si>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</si>
  <si>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</si>
  <si>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</si>
  <si>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</si>
  <si>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</si>
  <si>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</si>
  <si>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</si>
  <si>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</si>
  <si>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</si>
  <si>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</si>
  <si>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</si>
  <si>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</si>
  <si>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</si>
  <si>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</si>
  <si>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</si>
  <si>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</si>
  <si>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</si>
  <si>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</si>
  <si>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</si>
  <si>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</si>
  <si>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</si>
  <si>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</si>
  <si>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</si>
  <si>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</si>
  <si>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</si>
  <si>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</si>
  <si>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</si>
  <si>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</si>
  <si>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</si>
  <si>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</si>
  <si>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</si>
  <si>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</si>
  <si>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</si>
  <si>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</si>
  <si>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</si>
  <si>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</si>
  <si>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</si>
  <si>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</si>
  <si>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</si>
  <si>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</si>
  <si>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</si>
  <si>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</si>
  <si>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</si>
  <si>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</si>
  <si>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</si>
  <si>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</si>
  <si>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</si>
  <si>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</si>
  <si>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</si>
  <si>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</si>
  <si>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</si>
  <si>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</si>
  <si>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</si>
  <si>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</si>
  <si>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r>
      <rPr>
        <b/>
        <sz val="11"/>
        <color rgb="FF000000"/>
        <rFont val="Calibri"/>
        <charset val="134"/>
      </rPr>
      <t xml:space="preserve">Processo Administrativo n.° </t>
    </r>
    <r>
      <rPr>
        <sz val="11"/>
        <color rgb="FF000000"/>
        <rFont val="Calibri"/>
        <charset val="134"/>
      </rPr>
      <t>23381.004959.2021-15</t>
    </r>
  </si>
  <si>
    <t>Licitação n°</t>
  </si>
  <si>
    <t>005/2021</t>
  </si>
  <si>
    <t>Discriminação dos Serviços (Dados Referente à Contratação)</t>
  </si>
  <si>
    <t>Data -  Apresentação da Proposta</t>
  </si>
  <si>
    <t>....../......./20.......</t>
  </si>
  <si>
    <t>Município - ISSQN</t>
  </si>
  <si>
    <t>ISSQN 5 % (cinco por cento)</t>
  </si>
  <si>
    <t>Ano Acordo, Convenção ou Dissídio Coletivo</t>
  </si>
  <si>
    <t>CCT PB000047/2021</t>
  </si>
  <si>
    <t>Número de Meses de Execução Contratual</t>
  </si>
  <si>
    <t>12 (doze) meses</t>
  </si>
  <si>
    <t>Identificação do Serviço</t>
  </si>
  <si>
    <t>Tipo de Serviço</t>
  </si>
  <si>
    <t>Unidade de Medida</t>
  </si>
  <si>
    <t>Quantidade Total a Contratar</t>
  </si>
  <si>
    <t>Auxiliar Administrativo</t>
  </si>
  <si>
    <t>44 horas</t>
  </si>
  <si>
    <t>MTE</t>
  </si>
  <si>
    <t>4110-10</t>
  </si>
  <si>
    <t>SEAC-PB</t>
  </si>
  <si>
    <t>01/JANEIRO</t>
  </si>
  <si>
    <t>GRUPO IV</t>
  </si>
  <si>
    <t>BASE DE CÁLCULO PARA O SUBMÓDULO 2.2</t>
  </si>
  <si>
    <t>MÓDULO 1</t>
  </si>
  <si>
    <t>MÓDULO 2.1</t>
  </si>
  <si>
    <t>TOTAL</t>
  </si>
  <si>
    <t>SAT (+FAP de 0,5 a 2,0) (Variação: 0,5% a 6 %)</t>
  </si>
  <si>
    <r>
      <rPr>
        <sz val="11"/>
        <color rgb="FF000000"/>
        <rFont val="Calibri"/>
        <charset val="134"/>
      </rPr>
      <t>Intervalo Intrajornada (</t>
    </r>
    <r>
      <rPr>
        <sz val="10"/>
        <color rgb="FF000000"/>
        <rFont val="Calibri"/>
        <charset val="134"/>
      </rPr>
      <t>não usufruído pelo empregado</t>
    </r>
    <r>
      <rPr>
        <sz val="11"/>
        <color rgb="FF000000"/>
        <rFont val="Calibri"/>
        <charset val="134"/>
      </rPr>
      <t>)</t>
    </r>
  </si>
  <si>
    <t>Benefício Odontológico</t>
  </si>
  <si>
    <t>Auxílio Morte/Funeral</t>
  </si>
  <si>
    <t>Incidência de GPS, FGTS e outras contribuições sobre o Aviso Prévio Trabalhado</t>
  </si>
  <si>
    <t>BASE DE CÁLCULO PARA O MÓDULO 4</t>
  </si>
  <si>
    <t>MÓDULO 2</t>
  </si>
  <si>
    <t>MÓDULO 3</t>
  </si>
  <si>
    <t>Substituto na cobertura de 13º (décimo terceiro) Salário, Férias e Adicional de Férias</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</si>
  <si>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</si>
  <si>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</si>
  <si>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</si>
  <si>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</si>
  <si>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Uniformes e Equipamento de Proteção Individual - EPI</t>
  </si>
  <si>
    <t>Equipamentos de Proteção Coletiva - EPC</t>
  </si>
  <si>
    <t>Diárias</t>
  </si>
  <si>
    <t>BASE DE CÁLCULO PARA O MÓDULO 6</t>
  </si>
  <si>
    <t>MÓDULO 4</t>
  </si>
  <si>
    <t>MÓDULO 5</t>
  </si>
  <si>
    <t>CÁLCULO POR DENTRO</t>
  </si>
  <si>
    <t>TOTAL DOS TRIBUTOS</t>
  </si>
  <si>
    <t>BASE DE CÁLCULO</t>
  </si>
  <si>
    <t>ÍNDICE</t>
  </si>
  <si>
    <t>C.1 - PIS</t>
  </si>
  <si>
    <t>C.2 - COFINS</t>
  </si>
  <si>
    <t>C.3 - ISS</t>
  </si>
  <si>
    <t>VALOR TOTAL POR EMPREGADO</t>
  </si>
  <si>
    <t>Copeiro(a)</t>
  </si>
  <si>
    <t>5134-25</t>
  </si>
  <si>
    <t>GRUPO I</t>
  </si>
  <si>
    <t>Agente de Portaria</t>
  </si>
  <si>
    <t>Posto 12 x 36 horas</t>
  </si>
  <si>
    <t>5174-15</t>
  </si>
  <si>
    <t>GRUPO III</t>
  </si>
  <si>
    <t>VALOR TOTAL DO POSTO</t>
  </si>
  <si>
    <t>CCT PB000035/2019*</t>
  </si>
  <si>
    <t>Motorista Interestadual</t>
  </si>
  <si>
    <t>7823-05</t>
  </si>
  <si>
    <t>SMTTRPC-PB</t>
  </si>
  <si>
    <t>* A presente CCT PB000035/2019 não encontra-se vigente, mas corresponde à CCT a qual o atual contrato, junto à Administração, encontra-se vinculado.</t>
  </si>
  <si>
    <r>
      <rPr>
        <b/>
        <sz val="11"/>
        <rFont val="Calibri"/>
        <charset val="134"/>
      </rPr>
      <t xml:space="preserve">Processo Administrativo n.° </t>
    </r>
    <r>
      <rPr>
        <sz val="11"/>
        <rFont val="Calibri"/>
        <charset val="134"/>
      </rPr>
      <t>23381.004959.2021-15</t>
    </r>
  </si>
  <si>
    <t>CCT PB 000047/2021</t>
  </si>
  <si>
    <t>Eletricista</t>
  </si>
  <si>
    <t>7156-10</t>
  </si>
  <si>
    <t>GRUPO VIII</t>
  </si>
  <si>
    <t>Lei n.° 12.740/2012 – NR 16 Anexo IV</t>
  </si>
  <si>
    <r>
      <rPr>
        <sz val="11"/>
        <rFont val="Calibri"/>
        <charset val="134"/>
      </rPr>
      <t>Intervalo Intrajornada (</t>
    </r>
    <r>
      <rPr>
        <sz val="10"/>
        <rFont val="Calibri"/>
        <charset val="134"/>
      </rPr>
      <t>não usufruído pelo empregado</t>
    </r>
    <r>
      <rPr>
        <sz val="11"/>
        <rFont val="Calibri"/>
        <charset val="134"/>
      </rPr>
      <t>)</t>
    </r>
  </si>
  <si>
    <t>Auxiliar de Manutenção Predial</t>
  </si>
  <si>
    <t>5143-10</t>
  </si>
  <si>
    <t>GRUPO IX</t>
  </si>
  <si>
    <t>DIÁRIAS</t>
  </si>
  <si>
    <t>QUANTIDADE ESTIMADA ANUAL DE DIÁRIAS</t>
  </si>
  <si>
    <t>VALOR UNITÁRIO</t>
  </si>
  <si>
    <t>VALOR TOTAL ESTIMADO</t>
  </si>
  <si>
    <t>(A)</t>
  </si>
  <si>
    <t>(B)</t>
  </si>
  <si>
    <t>(C)=(A) X (B)</t>
  </si>
  <si>
    <t>TRIBUTAÇÃO INCIDENTE</t>
  </si>
  <si>
    <t>FATURAMENTO</t>
  </si>
  <si>
    <t>VALOR UNITÁRIO DA DIÁRIA</t>
  </si>
  <si>
    <t>COEFICIENTE</t>
  </si>
  <si>
    <t>CUSTOS INDIRETOS E LUCRO</t>
  </si>
  <si>
    <t>PERCENTUAL</t>
  </si>
  <si>
    <t>VALOR</t>
  </si>
  <si>
    <t>CUSTOS INDIRETOS</t>
  </si>
  <si>
    <t>LUCRO</t>
  </si>
  <si>
    <t>SUBTOTAL</t>
  </si>
  <si>
    <t>TRIBUTOS SOBRE O FATURAMENTO*</t>
  </si>
  <si>
    <t>VALOR**</t>
  </si>
  <si>
    <t>*FATURAMENTO: Considera-se faturamento para o cálculo dos tributos: o valor da diária + (custos indiretos e lucro). Ex.: Os tributos foram
calculados por dentro utilizando o coeficiente (1 - 8,65% = 91,35% ou 0,9135).</t>
  </si>
  <si>
    <t>**((Vr. faturamento) / (0,9135)) x Percentual da alíquota do tributo.</t>
  </si>
  <si>
    <t>UNIFORMES</t>
  </si>
  <si>
    <t>AUXILIAR ADMINISTRATIVO</t>
  </si>
  <si>
    <t>ITEM</t>
  </si>
  <si>
    <t>PEÇA</t>
  </si>
  <si>
    <t>DESCRIÇÃO</t>
  </si>
  <si>
    <t>UNIDADE</t>
  </si>
  <si>
    <t>VALOR MÉDIO UNITÁRIO (R$)</t>
  </si>
  <si>
    <t>QUANTIDADE ANUAL</t>
  </si>
  <si>
    <t>VALOR ANUAL POR EMPREGADO (R$)</t>
  </si>
  <si>
    <t>VALOR MENSAL POR EMPREGADO (R$)</t>
  </si>
  <si>
    <t>CALÇA</t>
  </si>
  <si>
    <t>Calça ou Saia social, na cor preta, em tecido de poliviscose.</t>
  </si>
  <si>
    <t>Unidade</t>
  </si>
  <si>
    <t>BLAZER</t>
  </si>
  <si>
    <t>Blazer social de mangas longas, abotoamento frontal contendo a identificação da Contratada.</t>
  </si>
  <si>
    <t>CAMISA</t>
  </si>
  <si>
    <t>Camisa social, na cor branca, de mangas  3/4, tecido com o mínimo de 50% de fibras naturais, contendo a identificação da Contratada.</t>
  </si>
  <si>
    <t>Camisa tipo Polo em Piquet de Malha – 50% algodão e 50% poliéster,  com mangas curtas, identificação da empresa na parte frontal, na cor Branca.</t>
  </si>
  <si>
    <t>CALÇADO</t>
  </si>
  <si>
    <t>Sapato em couro, na cor preta, solado antiderrapante.</t>
  </si>
  <si>
    <t>Par</t>
  </si>
  <si>
    <t>MEIA</t>
  </si>
  <si>
    <t>Meia, modelo cano alto , composição: 88% Algodão, 2% Lycra e 10% Poliamida, na cor preta.</t>
  </si>
  <si>
    <t>CRACHÁ</t>
  </si>
  <si>
    <t xml:space="preserve"> Crachá de identiﬁcação, em plástico rígido, contendo logomarca da empresa, foto e nome completo do funcionário.</t>
  </si>
  <si>
    <t>COPEIRO (A)</t>
  </si>
  <si>
    <t>PORTEIRO</t>
  </si>
  <si>
    <t>CAPA PARA CHUVA</t>
  </si>
  <si>
    <t>Capa para chuva, em material plástico, cor preta com faixas fluorescentes.</t>
  </si>
  <si>
    <t>MOTORISTA INTERMUNICIPAL E INTERESTADUAL</t>
  </si>
  <si>
    <t>Calça social, na cor preta, em tecido de poliviscose.</t>
  </si>
  <si>
    <t>MANGUITO PROTEÇÃO UV</t>
  </si>
  <si>
    <t>Manguito Proteção UV 50: Dimensões Aproximadas: P: 9x27,7 cm (L x C), G: 9,5x41 cm (L x P), Composição: 94% Poliamida e 6% Elastano; Proteção UV, Antimicrobial, Seamless Dry, Proteção Solar: Com FPS; na cor preta.</t>
  </si>
  <si>
    <t>UNIFORMES E EQUIPAMENTOS DE PROTEÇÃO INDIVIDUAL E COLETIVO</t>
  </si>
  <si>
    <t>ELETRICISTA</t>
  </si>
  <si>
    <t>Calça com cós de elástico, dois bolsos frontais e dois bolsos na traseira, confeccionado em tecido 100% algodão com tratamento retardante a chama, sem partes metálicas, com fitas refletivas nas pernas.</t>
  </si>
  <si>
    <t>Camisa com gola tipo italiana, com mangas longas e punhos americanos, com fitas refletivas na altura dos ombros e costas e identificação da empresa na parte frontal, confeccionadas em tecido 100% algodão com tratamento retardante a chama.</t>
  </si>
  <si>
    <t>BONÉ</t>
  </si>
  <si>
    <t>Boné árabe em brim 100% algodão para proteção da face em trabalhos a céu aberto.</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</si>
  <si>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</si>
  <si>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CAPACETE</t>
  </si>
  <si>
    <t>Capacete de segurança, tipo II classe B, aba frontal, injetados em material plástico, com carneira com ajuste traseiro e aranha, tira de suor confeccionada em TNT dublado com espuma, com jugular confeccionada com tecido de nylon e ajuste através de passador plástico, cor laranja, com selo de marcação do INMETRO.</t>
  </si>
  <si>
    <t>CINTO DE SEGURANÇA</t>
  </si>
  <si>
    <t>Conjunto cinto de segurança tipo paraquedista com talabarte duplo e kit trava queda (o cinto de segurança e o talabarte deverão ter o mesmo C.A.)</t>
  </si>
  <si>
    <t>Conjunto</t>
  </si>
  <si>
    <t>LUVA</t>
  </si>
  <si>
    <t>Luva de segurança isolante em borracha para alta tensão 20Kv, classe 2, para tensão máxima de uso até 17.000V.</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</si>
  <si>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</si>
  <si>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</si>
  <si>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</si>
  <si>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AURICULAR</t>
  </si>
  <si>
    <t>Protetor auricular, tipo plug de três flanges, material silicone, características adicionais anti-alérgico/atóxico.</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</si>
  <si>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</si>
  <si>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</si>
  <si>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</si>
  <si>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</si>
  <si>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AUXILIAR DE MANUTENÇÃO PREDIAL</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</si>
  <si>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</si>
  <si>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</si>
  <si>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r>
      <rPr>
        <i/>
        <sz val="11"/>
        <rFont val="Carlito"/>
        <charset val="134"/>
      </rPr>
      <t>Calçado de segurança tipo botina, confeccionado em couro vaqueta, fechamento em elástico, com biqueira de aço, solado em poliuretano</t>
    </r>
    <r>
      <rPr>
        <i/>
        <sz val="11"/>
        <rFont val="Arial"/>
        <charset val="134"/>
      </rPr>
      <t> </t>
    </r>
    <r>
      <rPr>
        <i/>
        <sz val="11"/>
        <rFont val="Carlito"/>
        <charset val="134"/>
      </rPr>
      <t>bidensidade.</t>
    </r>
  </si>
  <si>
    <r>
      <rPr>
        <i/>
        <sz val="11"/>
        <rFont val="Carlito"/>
        <charset val="134"/>
      </rPr>
      <t>Calçado ocupacional de uso profissional, tipo bota PVC cano longo, impermeável, confeccionado em policloreto de vinila (PVC), com resistência química, sem biqueira, propriedades antiderrapantes,</t>
    </r>
    <r>
      <rPr>
        <i/>
        <sz val="11"/>
        <rFont val="Arial"/>
        <charset val="134"/>
      </rPr>
      <t> </t>
    </r>
    <r>
      <rPr>
        <i/>
        <sz val="11"/>
        <rFont val="Carlito"/>
        <charset val="134"/>
      </rPr>
      <t>para uso em locais alagadiços.</t>
    </r>
  </si>
  <si>
    <t>Capacete de segurança, tipo II classe A, aba frontal, com carneira e jugular. Regulagem de tamanho através de ajuste simples, cor azul, com selo de marcação do INMETRO.</t>
  </si>
  <si>
    <t>MATERIAIS</t>
  </si>
  <si>
    <t>QUANTIDADE</t>
  </si>
  <si>
    <t>VALOR TOTAL</t>
  </si>
  <si>
    <t>Alicate universal 8”</t>
  </si>
  <si>
    <t>UND</t>
  </si>
  <si>
    <t>Alicate de pressão 8”</t>
  </si>
  <si>
    <t>Alicate de corte 10”</t>
  </si>
  <si>
    <t>Alicate de bico 10”</t>
  </si>
  <si>
    <t>Chave de fenda grande</t>
  </si>
  <si>
    <t>Chaves de fenda média</t>
  </si>
  <si>
    <t>Chave de fenda pequena</t>
  </si>
  <si>
    <t>Chave Philips grande</t>
  </si>
  <si>
    <t>Chaves Philips pequena</t>
  </si>
  <si>
    <t>Chave para teste elétrico</t>
  </si>
  <si>
    <t>Chave inglesa 12"</t>
  </si>
  <si>
    <t>Jogo de chave Allen</t>
  </si>
  <si>
    <t>Jogo de chave boca/estria de 3/8”a 1”</t>
  </si>
  <si>
    <t>Jogo de chave de encaixe de 3/8”a 1 ¼”</t>
  </si>
  <si>
    <t>Jogo de brocas videa de 3,5 mm a 9,5 mm</t>
  </si>
  <si>
    <t>Jogo de brocas de aço rápido de 1/16” a 3/16”</t>
  </si>
  <si>
    <t>Estilete</t>
  </si>
  <si>
    <t>Arco de serra</t>
  </si>
  <si>
    <t>Alicate de papagaio</t>
  </si>
  <si>
    <t>Chave de grifa 18”</t>
  </si>
  <si>
    <t>Martelo bola de ½ kg</t>
  </si>
  <si>
    <t>Marreta de ½ kg</t>
  </si>
  <si>
    <t>Marreta de 1 kg</t>
  </si>
  <si>
    <t>Talhadeira de 6”</t>
  </si>
  <si>
    <t>Talhadeira de 8”</t>
  </si>
  <si>
    <t>Tesoura para chapa de alumínio</t>
  </si>
  <si>
    <t>Pá quadrada</t>
  </si>
  <si>
    <t>Enxada</t>
  </si>
  <si>
    <t>Chibanca</t>
  </si>
  <si>
    <t>Picareta</t>
  </si>
  <si>
    <t>Alavanca</t>
  </si>
  <si>
    <t>Peneira para areia</t>
  </si>
  <si>
    <t>Marretas de borracha para cerâmica</t>
  </si>
  <si>
    <t>Régua de alumínio</t>
  </si>
  <si>
    <t>Prumo</t>
  </si>
  <si>
    <t>Escalas métrica</t>
  </si>
  <si>
    <t>Colher para pedreiro</t>
  </si>
  <si>
    <t>Ponteiro</t>
  </si>
  <si>
    <t>Torquês</t>
  </si>
  <si>
    <t>Esquadro</t>
  </si>
  <si>
    <t>Bobina de linha de náilon</t>
  </si>
  <si>
    <t>Desempenadeira de madeira</t>
  </si>
  <si>
    <t>Desempenadeira de aço</t>
  </si>
  <si>
    <t>Pé de cabra</t>
  </si>
  <si>
    <t>Nível de alumínio</t>
  </si>
  <si>
    <t>Nível de mangueira transparente</t>
  </si>
  <si>
    <t>Trena métrica de 30m</t>
  </si>
  <si>
    <t>Diamante manual para corte de cerâmica</t>
  </si>
  <si>
    <t>Pincéis de pêlo</t>
  </si>
  <si>
    <t>Bandeja para pintura</t>
  </si>
  <si>
    <t>Rolos de esponja para pintura látex</t>
  </si>
  <si>
    <t>Rolos de lã para pintura látex</t>
  </si>
  <si>
    <t>Rolos de borracha para pintura texturizada</t>
  </si>
  <si>
    <t>Broxa</t>
  </si>
  <si>
    <t>Espátula de metal</t>
  </si>
  <si>
    <t>Espátula de metal dentada</t>
  </si>
  <si>
    <t>Pazinha larga para vazo 30cm</t>
  </si>
  <si>
    <t>Garfo largo 24cm</t>
  </si>
  <si>
    <t>Escardilho</t>
  </si>
  <si>
    <t>Tesoura para colheita e poda</t>
  </si>
  <si>
    <t>Tesoura de poda de cerca viva e grama</t>
  </si>
  <si>
    <t>Serrote Poda dobrável 30cm madeira</t>
  </si>
  <si>
    <t>Vassoura para Grama de metal - 18 dentes</t>
  </si>
  <si>
    <t>Pá Cavadeira Articulada-cabo 110 mm</t>
  </si>
  <si>
    <t>Facão 14” para mato cabo de madeira</t>
  </si>
  <si>
    <t>Carrinho de mão 60 l com rodas de borracha</t>
  </si>
  <si>
    <t>Pá de bico nº 3 com cabo</t>
  </si>
  <si>
    <t>Desentupidor de pia</t>
  </si>
  <si>
    <t>Desentupidor de vaso</t>
  </si>
  <si>
    <t>Desentupidor espiral</t>
  </si>
  <si>
    <t>Extensão elétrica 10 m</t>
  </si>
  <si>
    <t>Ferro de solda</t>
  </si>
  <si>
    <t>Lanternas holofote recarregável de Led</t>
  </si>
  <si>
    <t>Multiteste eletrônico</t>
  </si>
  <si>
    <t>Pente de Aletas</t>
  </si>
  <si>
    <t>Termômetro</t>
  </si>
  <si>
    <t>Chave Catraca</t>
  </si>
  <si>
    <t>Conjunto Serra Copo</t>
  </si>
  <si>
    <t>Cortador de Tubo</t>
  </si>
  <si>
    <t>Curvador de Tubo</t>
  </si>
  <si>
    <t>QUANTIDADE DE PROFISSIONAIS EMPREGADOS NA EXECUÇÃO DOS SERVIÇOS DE MANUTENÇÃO</t>
  </si>
  <si>
    <t>VALOR MENSAL POR EMPREGADO</t>
  </si>
  <si>
    <t>EQUIPAMENTOS</t>
  </si>
  <si>
    <t>Alicate voltímetro e Amperímetro digital</t>
  </si>
  <si>
    <t>Escada de fibra de vidro extensível com corda 5,70 X 10,20 m</t>
  </si>
  <si>
    <t>Máquina manual para corte de cerâmica</t>
  </si>
  <si>
    <t>Chave de grifa 36”</t>
  </si>
  <si>
    <t>Andaime tubular de ferro com sapata e roda</t>
  </si>
  <si>
    <t>Compressor portátil</t>
  </si>
  <si>
    <t>Furadeira elétrica impacto profissional</t>
  </si>
  <si>
    <t>Lixadeira elétrica</t>
  </si>
  <si>
    <t>Moto esmeril bancada</t>
  </si>
  <si>
    <t>Serra para mármore (makita)</t>
  </si>
  <si>
    <t>Serra tico-tico</t>
  </si>
  <si>
    <t>Torno</t>
  </si>
  <si>
    <t>Lavadora de Alta Pressão 1500 W</t>
  </si>
  <si>
    <t>Aspirador de Pó</t>
  </si>
  <si>
    <t>Bomba de vácuo</t>
  </si>
  <si>
    <t>Conjunto Manifold</t>
  </si>
  <si>
    <t>Vacuômetro</t>
  </si>
  <si>
    <t>Detector de Vazamentos</t>
  </si>
  <si>
    <t>Maçarico Portátil</t>
  </si>
  <si>
    <t>Capacímetro</t>
  </si>
  <si>
    <t>Manutenção mensal</t>
  </si>
  <si>
    <t>Depreciação mensal</t>
  </si>
  <si>
    <t>Custo Total dos equipamentos (Manutenção + Depreciação)</t>
  </si>
  <si>
    <r>
      <rPr>
        <b/>
        <sz val="11"/>
        <color theme="1"/>
        <rFont val="Arial"/>
        <charset val="134"/>
      </rPr>
      <t>Manutenção de Equipamentos</t>
    </r>
    <r>
      <rPr>
        <sz val="11"/>
        <color theme="1"/>
        <rFont val="Arial"/>
        <charset val="134"/>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(ANEXO IV) x 0,5% a.m.;
</t>
    </r>
    <r>
      <rPr>
        <b/>
        <sz val="11"/>
        <color theme="1"/>
        <rFont val="Arial"/>
        <charset val="134"/>
      </rPr>
      <t>Depreciação de Equipamentos:</t>
    </r>
    <r>
      <rPr>
        <sz val="11"/>
        <color theme="1"/>
        <rFont val="Arial"/>
        <charset val="134"/>
      </rPr>
      <t xml:space="preserve"> Para o cálculo do insumo Depreciação de Equipamentos, adotou-se vida útil de 8 anos e valor residual de 20%, com base no Manual de Custos Rodoviários do DNIT, volume 1, de 2003.
Depreciação Mensal = [Valor total dos equipamentos x (1,00-0,20)]/(12x8);</t>
    </r>
  </si>
  <si>
    <t>Materiais - Posto de Serviços de Agente de Portaria</t>
  </si>
  <si>
    <t>Peça</t>
  </si>
  <si>
    <t>Valor Médio Unitário (R$)</t>
  </si>
  <si>
    <t>Quantidade Anual</t>
  </si>
  <si>
    <t>Valor Anual/ Empregado (R$)</t>
  </si>
  <si>
    <t>Valor Mensal/ Empregado</t>
  </si>
  <si>
    <t>Livro de ocorrências</t>
  </si>
  <si>
    <t>Livro Termo de Ocorrência, capa dura, medindo aproximadamente 22x33 cm, com 50 folhas.</t>
  </si>
  <si>
    <t>Caneta esferográfica</t>
  </si>
  <si>
    <t>Caneta esferográfica, material plástico, ponteira esfera de tugstênio, tipo escrita média, cor tinta AZUL, características adicionais: atóxica, corpo cilindrico</t>
  </si>
  <si>
    <t>Prancheta</t>
  </si>
  <si>
    <t>PRANCHETA em acrílico, com prendedor metálico, formato oficio 2, dimensões 216 x 330 mm</t>
  </si>
  <si>
    <t>EQUIPAMENTOS DE PROTEÇÃO COLETIVA</t>
  </si>
  <si>
    <t>KIT PRIMEIRO SOCORROS</t>
  </si>
  <si>
    <t>Caixa plástica tipo maleta para acondicionamento do Kit</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</si>
  <si>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</si>
  <si>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</si>
  <si>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</si>
  <si>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</si>
  <si>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</si>
  <si>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</si>
  <si>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</si>
  <si>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</si>
  <si>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</si>
  <si>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</si>
  <si>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</si>
  <si>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</si>
  <si>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</si>
  <si>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</si>
  <si>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Placas de sinalização “Atenção - Em manutenção”</t>
  </si>
  <si>
    <t>Cone em PVC, cor laranja com faixas refletivas, tamanho 75 cm.</t>
  </si>
  <si>
    <t>QUANTIDADE DE PROFISSIONAIS A SEREM CONTRATADOS</t>
  </si>
  <si>
    <t>PLANILHA RESUMO</t>
  </si>
  <si>
    <t>Quantidade</t>
  </si>
  <si>
    <t xml:space="preserve">VIGÊNCIA </t>
  </si>
  <si>
    <t>VALOR UNITÁRIO MÁXIMO ACEITÁVEL</t>
  </si>
  <si>
    <t>VALOR TOTAL MÁXIMO ACEITÁVEL</t>
  </si>
  <si>
    <r>
      <rPr>
        <sz val="11"/>
        <color theme="1"/>
        <rFont val="Calibri"/>
        <charset val="134"/>
        <scheme val="minor"/>
      </rPr>
      <t xml:space="preserve">PRESTAÇÃO DE SERVIÇOS DE APOIO ADMINISTRATIVO - Posto de serviços: </t>
    </r>
    <r>
      <rPr>
        <b/>
        <sz val="11"/>
        <color theme="1"/>
        <rFont val="Calibri"/>
        <charset val="134"/>
        <scheme val="minor"/>
      </rPr>
      <t>AUXILIAR ADMINISTRATIVO - CBO: 4110-10</t>
    </r>
    <r>
      <rPr>
        <sz val="11"/>
        <color theme="1"/>
        <rFont val="Calibri"/>
        <charset val="134"/>
        <scheme val="minor"/>
      </rPr>
      <t>, em jornada semanal de 44 (quarenta e quatro) horas.</t>
    </r>
  </si>
  <si>
    <t>POSTO</t>
  </si>
  <si>
    <r>
      <rPr>
        <sz val="11"/>
        <color theme="1"/>
        <rFont val="Calibri"/>
        <charset val="134"/>
        <scheme val="minor"/>
      </rPr>
      <t>PRESTAÇÃO DE SERVIÇOS DE APOIO ADMINISTRATIVO - Posto de serviços:</t>
    </r>
    <r>
      <rPr>
        <b/>
        <sz val="11"/>
        <color theme="1"/>
        <rFont val="Calibri"/>
        <charset val="134"/>
        <scheme val="minor"/>
      </rPr>
      <t xml:space="preserve"> COPEIRO (A) - CBO: 5134-25</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</si>
  <si>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PORTARIA - CBO: 5174-15</t>
    </r>
    <r>
      <rPr>
        <sz val="11"/>
        <color theme="1"/>
        <rFont val="Calibri"/>
        <charset val="134"/>
        <scheme val="minor"/>
      </rPr>
      <t>, em jornada de 12 (doze) horas diurnas, de segunda-feira a domingo, envolvendo 2 (dois) agentes de portarias, em turnos de 12 (doze) x 36 (trinta e seis) horas.</t>
    </r>
  </si>
  <si>
    <r>
      <rPr>
        <sz val="11"/>
        <color theme="1"/>
        <rFont val="Calibri"/>
        <charset val="134"/>
        <scheme val="minor"/>
      </rPr>
      <t xml:space="preserve">PRESTAÇÃO DE SERVIÇOS DE APOIO ADMINISTRATIVO - Posto de serviços: </t>
    </r>
    <r>
      <rPr>
        <b/>
        <sz val="11"/>
        <color theme="1"/>
        <rFont val="Calibri"/>
        <charset val="134"/>
        <scheme val="minor"/>
      </rPr>
      <t>MOTORISTA INTERISTADUAL - CBO: 7823 – 05</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</si>
  <si>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ELETRICISTA - CBO: 7156-10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</si>
  <si>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AUXILIAR DE MANUTENÇÃO PREDIAL (AUXILIAR OPERACIONAL) - CBO: 5143-10</t>
    </r>
    <r>
      <rPr>
        <sz val="11"/>
        <color theme="1"/>
        <rFont val="Calibri"/>
        <charset val="134"/>
        <scheme val="minor"/>
      </rPr>
      <t>, em jornada semanal de 44 (quarenta e quatro) horas.</t>
    </r>
  </si>
  <si>
    <t>PAGAMENTO DE DIÁRIAS NACONAIS</t>
  </si>
</sst>
</file>

<file path=xl/styles.xml><?xml version="1.0" encoding="utf-8"?>
<styleSheet xmlns="http://schemas.openxmlformats.org/spreadsheetml/2006/main">
  <numFmts count="13">
    <numFmt numFmtId="176" formatCode="0.00_ "/>
    <numFmt numFmtId="177" formatCode="_-* #,##0.00_-;\-* #,##0.00_-;_-* &quot;-&quot;??_-;_-@_-"/>
    <numFmt numFmtId="178" formatCode="&quot;R$&quot;\ #,##0.00_);[Red]\(&quot;R$&quot;\ #,##0.00\)"/>
    <numFmt numFmtId="179" formatCode="_-&quot;R$ &quot;* #,##0.00_-;&quot;-R$ &quot;* #,##0.00_-;_-&quot;R$ &quot;* \-??_-;_-@_-"/>
    <numFmt numFmtId="180" formatCode="_-&quot;R$&quot;* #,##0_-;\-&quot;R$&quot;* #,##0_-;_-&quot;R$&quot;* &quot;-&quot;_-;_-@_-"/>
    <numFmt numFmtId="181" formatCode="&quot;R$&quot;#,##0.00_);[Red]\(&quot;R$&quot;#,##0.00\)"/>
    <numFmt numFmtId="182" formatCode="_-* #,##0_-;\-* #,##0_-;_-* &quot;-&quot;_-;_-@_-"/>
    <numFmt numFmtId="183" formatCode="&quot;R$&quot;\ #,##0.00"/>
    <numFmt numFmtId="184" formatCode="_-&quot;R$&quot;* #,##0.00_-;\-&quot;R$&quot;* #,##0.00_-;_-&quot;R$&quot;* &quot;-&quot;??_-;_-@_-"/>
    <numFmt numFmtId="185" formatCode="&quot;R$&quot;#,##0.00_);[Red]&quot;(R$&quot;#,##0.00\)"/>
    <numFmt numFmtId="186" formatCode="0.0000_ "/>
    <numFmt numFmtId="187" formatCode="&quot;R$ &quot;#,##0.00"/>
    <numFmt numFmtId="188" formatCode="&quot;R$&quot;#,##0.00"/>
  </numFmts>
  <fonts count="68">
    <font>
      <sz val="11"/>
      <color rgb="FF000000"/>
      <name val="Calibri"/>
      <charset val="134"/>
    </font>
    <font>
      <b/>
      <sz val="11"/>
      <color theme="1"/>
      <name val="Calibri"/>
      <charset val="134"/>
      <scheme val="minor"/>
    </font>
    <font>
      <sz val="11"/>
      <color theme="1"/>
      <name val="Calibri"/>
      <charset val="134"/>
      <scheme val="minor"/>
    </font>
    <font>
      <b/>
      <i/>
      <sz val="11"/>
      <name val="Calibri"/>
      <charset val="134"/>
    </font>
    <font>
      <b/>
      <i/>
      <sz val="11"/>
      <color rgb="FF3F3F3F"/>
      <name val="Calibri"/>
      <charset val="134"/>
    </font>
    <font>
      <i/>
      <sz val="11"/>
      <name val="Times New Roman"/>
      <charset val="134"/>
    </font>
    <font>
      <i/>
      <sz val="11"/>
      <name val="Calibri"/>
      <charset val="134"/>
    </font>
    <font>
      <b/>
      <i/>
      <sz val="11"/>
      <color rgb="FF000000"/>
      <name val="Calibri"/>
      <charset val="134"/>
    </font>
    <font>
      <sz val="11"/>
      <name val="Calibri"/>
      <charset val="134"/>
    </font>
    <font>
      <b/>
      <i/>
      <sz val="11"/>
      <color theme="0"/>
      <name val="Arial"/>
      <charset val="134"/>
    </font>
    <font>
      <b/>
      <i/>
      <sz val="11"/>
      <color rgb="FF000000"/>
      <name val="Arial"/>
      <charset val="134"/>
    </font>
    <font>
      <b/>
      <i/>
      <sz val="11"/>
      <name val="Arial"/>
      <charset val="134"/>
    </font>
    <font>
      <i/>
      <sz val="11"/>
      <color rgb="FF000000"/>
      <name val="Arial"/>
      <charset val="134"/>
    </font>
    <font>
      <i/>
      <sz val="11"/>
      <name val="Arial"/>
      <charset val="134"/>
    </font>
    <font>
      <sz val="11"/>
      <color rgb="FF000000"/>
      <name val="Arial"/>
      <charset val="134"/>
    </font>
    <font>
      <sz val="11"/>
      <name val="Arial"/>
      <charset val="134"/>
    </font>
    <font>
      <b/>
      <i/>
      <sz val="11"/>
      <color theme="1"/>
      <name val="Arial"/>
      <charset val="134"/>
    </font>
    <font>
      <sz val="11"/>
      <color theme="1"/>
      <name val="Arial"/>
      <charset val="134"/>
    </font>
    <font>
      <b/>
      <sz val="11"/>
      <color theme="0"/>
      <name val="Arial"/>
      <charset val="134"/>
    </font>
    <font>
      <b/>
      <sz val="11"/>
      <name val="Arial"/>
      <charset val="134"/>
    </font>
    <font>
      <b/>
      <sz val="11"/>
      <color theme="1"/>
      <name val="Arial"/>
      <charset val="134"/>
    </font>
    <font>
      <b/>
      <sz val="11"/>
      <name val="Calibri"/>
      <charset val="134"/>
      <scheme val="minor"/>
    </font>
    <font>
      <sz val="11"/>
      <name val="Calibri"/>
      <charset val="134"/>
      <scheme val="minor"/>
    </font>
    <font>
      <sz val="12"/>
      <name val="Calibri"/>
      <charset val="134"/>
      <scheme val="minor"/>
    </font>
    <font>
      <b/>
      <sz val="11"/>
      <color theme="0"/>
      <name val="Calibri"/>
      <charset val="134"/>
    </font>
    <font>
      <b/>
      <sz val="11"/>
      <name val="Calibri"/>
      <charset val="134"/>
    </font>
    <font>
      <b/>
      <sz val="11"/>
      <color rgb="FF000000"/>
      <name val="Calibri"/>
      <charset val="134"/>
    </font>
    <font>
      <i/>
      <sz val="11"/>
      <name val="Carlito"/>
      <charset val="134"/>
    </font>
    <font>
      <sz val="11"/>
      <color rgb="FFFF0000"/>
      <name val="Calibri"/>
      <charset val="134"/>
    </font>
    <font>
      <b/>
      <sz val="12"/>
      <name val="Calibri"/>
      <charset val="134"/>
      <scheme val="minor"/>
    </font>
    <font>
      <sz val="11"/>
      <color indexed="8"/>
      <name val="Calibri"/>
      <charset val="134"/>
    </font>
    <font>
      <b/>
      <sz val="12"/>
      <color theme="0"/>
      <name val="Calibri"/>
      <charset val="134"/>
    </font>
    <font>
      <sz val="12"/>
      <name val="Calibri"/>
      <charset val="134"/>
    </font>
    <font>
      <sz val="12"/>
      <color indexed="8"/>
      <name val="Calibri"/>
      <charset val="134"/>
    </font>
    <font>
      <b/>
      <sz val="14"/>
      <name val="Calibri"/>
      <charset val="134"/>
    </font>
    <font>
      <sz val="11"/>
      <color theme="0"/>
      <name val="Calibri"/>
      <charset val="134"/>
    </font>
    <font>
      <sz val="11"/>
      <color theme="5" tint="0.4"/>
      <name val="Calibri"/>
      <charset val="134"/>
    </font>
    <font>
      <b/>
      <sz val="14"/>
      <color rgb="FFFFFFFF"/>
      <name val="Calibri"/>
      <charset val="134"/>
    </font>
    <font>
      <b/>
      <sz val="11"/>
      <color rgb="FFFFFFFF"/>
      <name val="Calibri"/>
      <charset val="134"/>
    </font>
    <font>
      <sz val="11"/>
      <color rgb="FFF4B183"/>
      <name val="Calibri"/>
      <charset val="134"/>
    </font>
    <font>
      <sz val="11"/>
      <color rgb="FFFFFFFF"/>
      <name val="Calibri"/>
      <charset val="134"/>
    </font>
    <font>
      <sz val="9"/>
      <color rgb="FF000000"/>
      <name val="Calibri"/>
      <charset val="134"/>
    </font>
    <font>
      <i/>
      <sz val="11"/>
      <color rgb="FF000000"/>
      <name val="Calibri"/>
      <charset val="134"/>
    </font>
    <font>
      <sz val="11"/>
      <color theme="1"/>
      <name val="Calibri"/>
      <charset val="0"/>
      <scheme val="minor"/>
    </font>
    <font>
      <sz val="11"/>
      <color theme="0"/>
      <name val="Calibri"/>
      <charset val="0"/>
      <scheme val="minor"/>
    </font>
    <font>
      <i/>
      <sz val="11"/>
      <color rgb="FF7F7F7F"/>
      <name val="Calibri"/>
      <charset val="0"/>
      <scheme val="minor"/>
    </font>
    <font>
      <b/>
      <sz val="18"/>
      <color theme="3"/>
      <name val="Calibri"/>
      <charset val="134"/>
      <scheme val="minor"/>
    </font>
    <font>
      <sz val="10"/>
      <name val="Arial"/>
      <charset val="134"/>
    </font>
    <font>
      <sz val="11"/>
      <color rgb="FFFF0000"/>
      <name val="Calibri"/>
      <charset val="0"/>
      <scheme val="minor"/>
    </font>
    <font>
      <sz val="11"/>
      <color rgb="FFFA7D00"/>
      <name val="Calibri"/>
      <charset val="0"/>
      <scheme val="minor"/>
    </font>
    <font>
      <sz val="11"/>
      <color rgb="FF006100"/>
      <name val="Calibri"/>
      <charset val="0"/>
      <scheme val="minor"/>
    </font>
    <font>
      <b/>
      <sz val="11"/>
      <color rgb="FFFFFFFF"/>
      <name val="Calibri"/>
      <charset val="0"/>
      <scheme val="minor"/>
    </font>
    <font>
      <u/>
      <sz val="11"/>
      <color rgb="FF800080"/>
      <name val="Calibri"/>
      <charset val="0"/>
      <scheme val="minor"/>
    </font>
    <font>
      <sz val="11"/>
      <color rgb="FF3F3F76"/>
      <name val="Calibri"/>
      <charset val="0"/>
      <scheme val="minor"/>
    </font>
    <font>
      <u/>
      <sz val="11"/>
      <color rgb="FF0000FF"/>
      <name val="Calibri"/>
      <charset val="0"/>
      <scheme val="minor"/>
    </font>
    <font>
      <sz val="10"/>
      <color theme="1"/>
      <name val="Calibri"/>
      <charset val="134"/>
      <scheme val="minor"/>
    </font>
    <font>
      <sz val="11"/>
      <color rgb="FF9C6500"/>
      <name val="Calibri"/>
      <charset val="0"/>
      <scheme val="minor"/>
    </font>
    <font>
      <b/>
      <sz val="11"/>
      <color rgb="FFFA7D00"/>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b/>
      <sz val="11"/>
      <color rgb="FF3F3F3F"/>
      <name val="Calibri"/>
      <charset val="0"/>
      <scheme val="minor"/>
    </font>
    <font>
      <b/>
      <sz val="11"/>
      <color theme="1"/>
      <name val="Calibri"/>
      <charset val="0"/>
      <scheme val="minor"/>
    </font>
    <font>
      <sz val="11"/>
      <color rgb="FF9C0006"/>
      <name val="Calibri"/>
      <charset val="0"/>
      <scheme val="minor"/>
    </font>
    <font>
      <sz val="10"/>
      <name val="Calibri"/>
      <charset val="134"/>
    </font>
    <font>
      <sz val="10"/>
      <color rgb="FF000000"/>
      <name val="Calibri"/>
      <charset val="134"/>
    </font>
    <font>
      <u/>
      <sz val="11"/>
      <color rgb="FFF4B183"/>
      <name val="Calibri"/>
      <charset val="134"/>
    </font>
    <font>
      <sz val="9"/>
      <name val="Tahoma"/>
      <charset val="134"/>
    </font>
  </fonts>
  <fills count="54">
    <fill>
      <patternFill patternType="none"/>
    </fill>
    <fill>
      <patternFill patternType="gray125"/>
    </fill>
    <fill>
      <patternFill patternType="solid">
        <fgColor theme="9"/>
        <bgColor theme="9"/>
      </patternFill>
    </fill>
    <fill>
      <patternFill patternType="solid">
        <fgColor theme="0" tint="-0.5"/>
        <bgColor indexed="64"/>
      </patternFill>
    </fill>
    <fill>
      <patternFill patternType="solid">
        <fgColor rgb="FFD7D7D7"/>
        <bgColor indexed="64"/>
      </patternFill>
    </fill>
    <fill>
      <patternFill patternType="solid">
        <fgColor theme="0" tint="-0.499984740745262"/>
        <bgColor indexed="64"/>
      </patternFill>
    </fill>
    <fill>
      <patternFill patternType="solid">
        <fgColor theme="5" tint="0.399975585192419"/>
        <bgColor indexed="64"/>
      </patternFill>
    </fill>
    <fill>
      <patternFill patternType="solid">
        <fgColor theme="0" tint="-0.149998474074526"/>
        <bgColor indexed="64"/>
      </patternFill>
    </fill>
    <fill>
      <patternFill patternType="solid">
        <fgColor theme="9"/>
        <bgColor indexed="64"/>
      </patternFill>
    </fill>
    <fill>
      <patternFill patternType="solid">
        <fgColor theme="5" tint="0.399945066682943"/>
        <bgColor indexed="64"/>
      </patternFill>
    </fill>
    <fill>
      <patternFill patternType="solid">
        <fgColor theme="5" tint="0.399884029663991"/>
        <bgColor indexed="64"/>
      </patternFill>
    </fill>
    <fill>
      <patternFill patternType="solid">
        <fgColor theme="9" tint="0.6"/>
        <bgColor indexed="64"/>
      </patternFill>
    </fill>
    <fill>
      <patternFill patternType="solid">
        <fgColor theme="9" tint="0.4"/>
        <bgColor indexed="64"/>
      </patternFill>
    </fill>
    <fill>
      <patternFill patternType="solid">
        <fgColor theme="5" tint="0.4"/>
        <bgColor indexed="64"/>
      </patternFill>
    </fill>
    <fill>
      <patternFill patternType="solid">
        <fgColor theme="9" tint="0.8"/>
        <bgColor indexed="64"/>
      </patternFill>
    </fill>
    <fill>
      <patternFill patternType="solid">
        <fgColor rgb="FF70AD47"/>
        <bgColor indexed="64"/>
      </patternFill>
    </fill>
    <fill>
      <patternFill patternType="solid">
        <fgColor rgb="FFC5E0B4"/>
        <bgColor indexed="64"/>
      </patternFill>
    </fill>
    <fill>
      <patternFill patternType="solid">
        <fgColor rgb="FFF4B183"/>
        <bgColor indexed="64"/>
      </patternFill>
    </fill>
    <fill>
      <patternFill patternType="solid">
        <fgColor rgb="FFE2F0D9"/>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rgb="FFF2F2F2"/>
        <bgColor rgb="FFE2F0D9"/>
      </patternFill>
    </fill>
    <fill>
      <patternFill patternType="solid">
        <fgColor theme="8" tint="0.799981688894314"/>
        <bgColor indexed="64"/>
      </patternFill>
    </fill>
    <fill>
      <patternFill patternType="solid">
        <fgColor theme="7" tint="0.599993896298105"/>
        <bgColor indexed="64"/>
      </patternFill>
    </fill>
    <fill>
      <patternFill patternType="solid">
        <fgColor rgb="FFC6EFCE"/>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FFFCC"/>
        <bgColor indexed="64"/>
      </patternFill>
    </fill>
    <fill>
      <patternFill patternType="solid">
        <fgColor theme="6"/>
        <bgColor indexed="64"/>
      </patternFill>
    </fill>
    <fill>
      <patternFill patternType="solid">
        <fgColor rgb="FFFFEB9C"/>
        <bgColor indexed="64"/>
      </patternFill>
    </fill>
    <fill>
      <patternFill patternType="solid">
        <fgColor rgb="FFF2F2F2"/>
        <bgColor indexed="64"/>
      </patternFill>
    </fill>
    <fill>
      <patternFill patternType="solid">
        <fgColor theme="4" tint="0.399975585192419"/>
        <bgColor indexed="64"/>
      </patternFill>
    </fill>
    <fill>
      <patternFill patternType="solid">
        <fgColor theme="7"/>
        <bgColor indexed="64"/>
      </patternFill>
    </fill>
    <fill>
      <patternFill patternType="solid">
        <fgColor theme="9" tint="0.399975585192419"/>
        <bgColor indexed="64"/>
      </patternFill>
    </fill>
    <fill>
      <patternFill patternType="solid">
        <fgColor theme="5"/>
        <bgColor indexed="64"/>
      </patternFill>
    </fill>
    <fill>
      <patternFill patternType="solid">
        <fgColor theme="8"/>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6" tint="0.599993896298105"/>
        <bgColor indexed="64"/>
      </patternFill>
    </fill>
  </fills>
  <borders count="45">
    <border>
      <left/>
      <right/>
      <top/>
      <bottom/>
      <diagonal/>
    </border>
    <border>
      <left style="thin">
        <color theme="0"/>
      </left>
      <right/>
      <top/>
      <bottom style="thick">
        <color theme="0"/>
      </bottom>
      <diagonal/>
    </border>
    <border>
      <left/>
      <right/>
      <top/>
      <bottom style="thick">
        <color theme="0"/>
      </bottom>
      <diagonal/>
    </border>
    <border>
      <left/>
      <right style="thin">
        <color theme="0"/>
      </right>
      <top/>
      <bottom style="thick">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medium">
        <color auto="1"/>
      </left>
      <right/>
      <top style="medium">
        <color auto="1"/>
      </top>
      <bottom style="thick">
        <color theme="4"/>
      </bottom>
      <diagonal/>
    </border>
    <border>
      <left/>
      <right/>
      <top style="medium">
        <color auto="1"/>
      </top>
      <bottom style="thick">
        <color theme="4"/>
      </bottom>
      <diagonal/>
    </border>
    <border>
      <left/>
      <right style="medium">
        <color auto="1"/>
      </right>
      <top style="medium">
        <color auto="1"/>
      </top>
      <bottom style="thick">
        <color theme="4"/>
      </bottom>
      <diagonal/>
    </border>
    <border>
      <left style="medium">
        <color auto="1"/>
      </left>
      <right/>
      <top/>
      <bottom style="thick">
        <color theme="4"/>
      </bottom>
      <diagonal/>
    </border>
    <border>
      <left/>
      <right/>
      <top/>
      <bottom style="thick">
        <color theme="4"/>
      </bottom>
      <diagonal/>
    </border>
    <border>
      <left/>
      <right/>
      <top style="thick">
        <color theme="4"/>
      </top>
      <bottom style="thick">
        <color theme="4"/>
      </bottom>
      <diagonal/>
    </border>
    <border>
      <left/>
      <right style="medium">
        <color auto="1"/>
      </right>
      <top style="thick">
        <color theme="4"/>
      </top>
      <bottom style="thick">
        <color theme="4"/>
      </bottom>
      <diagonal/>
    </border>
    <border>
      <left style="medium">
        <color auto="1"/>
      </left>
      <right/>
      <top/>
      <bottom/>
      <diagonal/>
    </border>
    <border>
      <left/>
      <right style="medium">
        <color auto="1"/>
      </right>
      <top/>
      <bottom/>
      <diagonal/>
    </border>
    <border>
      <left/>
      <right style="medium">
        <color auto="1"/>
      </right>
      <top/>
      <bottom style="thick">
        <color theme="4"/>
      </bottom>
      <diagonal/>
    </border>
    <border>
      <left style="medium">
        <color auto="1"/>
      </left>
      <right/>
      <top style="thick">
        <color theme="4"/>
      </top>
      <bottom/>
      <diagonal/>
    </border>
    <border>
      <left/>
      <right/>
      <top style="thick">
        <color theme="4"/>
      </top>
      <bottom/>
      <diagonal/>
    </border>
    <border>
      <left style="medium">
        <color auto="1"/>
      </left>
      <right/>
      <top style="thick">
        <color theme="4"/>
      </top>
      <bottom style="thick">
        <color theme="4"/>
      </bottom>
      <diagonal/>
    </border>
    <border>
      <left style="medium">
        <color auto="1"/>
      </left>
      <right style="medium">
        <color auto="1"/>
      </right>
      <top style="medium">
        <color auto="1"/>
      </top>
      <bottom style="medium">
        <color auto="1"/>
      </bottom>
      <diagonal/>
    </border>
    <border>
      <left style="thin">
        <color rgb="FFFFFFFF"/>
      </left>
      <right/>
      <top/>
      <bottom style="thick">
        <color rgb="FFFFFFFF"/>
      </bottom>
      <diagonal/>
    </border>
    <border>
      <left/>
      <right/>
      <top/>
      <bottom style="thick">
        <color rgb="FFFFFFFF"/>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style="thin">
        <color rgb="FFFFFFFF"/>
      </top>
      <bottom style="thin">
        <color rgb="FFFFFFFF"/>
      </bottom>
      <diagonal/>
    </border>
    <border>
      <left style="thin">
        <color auto="1"/>
      </left>
      <right style="thin">
        <color auto="1"/>
      </right>
      <top style="thin">
        <color auto="1"/>
      </top>
      <bottom/>
      <diagonal/>
    </border>
    <border>
      <left/>
      <right/>
      <top/>
      <bottom style="thin">
        <color auto="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180" fontId="47" fillId="0" borderId="0" applyBorder="0" applyAlignment="0" applyProtection="0"/>
    <xf numFmtId="182" fontId="47" fillId="0" borderId="0" applyBorder="0" applyAlignment="0" applyProtection="0"/>
    <xf numFmtId="0" fontId="43" fillId="26" borderId="0" applyNumberFormat="0" applyBorder="0" applyAlignment="0" applyProtection="0">
      <alignment vertical="center"/>
    </xf>
    <xf numFmtId="9" fontId="0" fillId="0" borderId="0" applyBorder="0" applyProtection="0"/>
    <xf numFmtId="0" fontId="49" fillId="0" borderId="37" applyNumberFormat="0" applyFill="0" applyAlignment="0" applyProtection="0">
      <alignment vertical="center"/>
    </xf>
    <xf numFmtId="0" fontId="51" fillId="29" borderId="38" applyNumberFormat="0" applyAlignment="0" applyProtection="0">
      <alignment vertical="center"/>
    </xf>
    <xf numFmtId="177" fontId="47" fillId="0" borderId="0" applyBorder="0" applyAlignment="0" applyProtection="0"/>
    <xf numFmtId="0" fontId="43" fillId="32" borderId="0" applyNumberFormat="0" applyBorder="0" applyAlignment="0" applyProtection="0">
      <alignment vertical="center"/>
    </xf>
    <xf numFmtId="179" fontId="0" fillId="0" borderId="0" applyBorder="0" applyProtection="0"/>
    <xf numFmtId="0" fontId="52"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43" fillId="35" borderId="0" applyNumberFormat="0" applyBorder="0" applyAlignment="0" applyProtection="0">
      <alignment vertical="center"/>
    </xf>
    <xf numFmtId="0" fontId="55" fillId="36" borderId="40" applyNumberFormat="0" applyFont="0" applyAlignment="0" applyProtection="0">
      <alignment vertical="center"/>
    </xf>
    <xf numFmtId="0" fontId="43" fillId="31" borderId="0" applyNumberFormat="0" applyBorder="0" applyAlignment="0" applyProtection="0">
      <alignment vertical="center"/>
    </xf>
    <xf numFmtId="0" fontId="48"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4" fillId="37" borderId="0" applyNumberFormat="0" applyBorder="0" applyAlignment="0" applyProtection="0">
      <alignment vertical="center"/>
    </xf>
    <xf numFmtId="0" fontId="58" fillId="0" borderId="41" applyNumberFormat="0" applyFill="0" applyAlignment="0" applyProtection="0">
      <alignment vertical="center"/>
    </xf>
    <xf numFmtId="0" fontId="44" fillId="41" borderId="0" applyNumberFormat="0" applyBorder="0" applyAlignment="0" applyProtection="0">
      <alignment vertical="center"/>
    </xf>
    <xf numFmtId="0" fontId="59" fillId="0" borderId="41" applyNumberFormat="0" applyFill="0" applyAlignment="0" applyProtection="0">
      <alignment vertical="center"/>
    </xf>
    <xf numFmtId="0" fontId="44" fillId="44" borderId="0" applyNumberFormat="0" applyBorder="0" applyAlignment="0" applyProtection="0">
      <alignment vertical="center"/>
    </xf>
    <xf numFmtId="0" fontId="60" fillId="0" borderId="42" applyNumberFormat="0" applyFill="0" applyAlignment="0" applyProtection="0">
      <alignment vertical="center"/>
    </xf>
    <xf numFmtId="0" fontId="44" fillId="8" borderId="0" applyNumberFormat="0" applyBorder="0" applyAlignment="0" applyProtection="0">
      <alignment vertical="center"/>
    </xf>
    <xf numFmtId="0" fontId="60" fillId="0" borderId="0" applyNumberFormat="0" applyFill="0" applyBorder="0" applyAlignment="0" applyProtection="0">
      <alignment vertical="center"/>
    </xf>
    <xf numFmtId="0" fontId="53" fillId="33" borderId="39" applyNumberFormat="0" applyAlignment="0" applyProtection="0">
      <alignment vertical="center"/>
    </xf>
    <xf numFmtId="0" fontId="61" fillId="39" borderId="43" applyNumberFormat="0" applyAlignment="0" applyProtection="0">
      <alignment vertical="center"/>
    </xf>
    <xf numFmtId="0" fontId="57" fillId="39" borderId="39" applyNumberFormat="0" applyAlignment="0" applyProtection="0">
      <alignment vertical="center"/>
    </xf>
    <xf numFmtId="0" fontId="62" fillId="0" borderId="44" applyNumberFormat="0" applyFill="0" applyAlignment="0" applyProtection="0">
      <alignment vertical="center"/>
    </xf>
    <xf numFmtId="0" fontId="43" fillId="28" borderId="0" applyNumberFormat="0" applyBorder="0" applyAlignment="0" applyProtection="0">
      <alignment vertical="center"/>
    </xf>
    <xf numFmtId="0" fontId="50" fillId="27" borderId="0" applyNumberFormat="0" applyBorder="0" applyAlignment="0" applyProtection="0">
      <alignment vertical="center"/>
    </xf>
    <xf numFmtId="0" fontId="63" fillId="49" borderId="0" applyNumberFormat="0" applyBorder="0" applyAlignment="0" applyProtection="0">
      <alignment vertical="center"/>
    </xf>
    <xf numFmtId="0" fontId="56" fillId="38" borderId="0" applyNumberFormat="0" applyBorder="0" applyAlignment="0" applyProtection="0">
      <alignment vertical="center"/>
    </xf>
    <xf numFmtId="0" fontId="43" fillId="25" borderId="0" applyNumberFormat="0" applyBorder="0" applyAlignment="0" applyProtection="0">
      <alignment vertical="center"/>
    </xf>
    <xf numFmtId="0" fontId="44" fillId="48" borderId="0" applyNumberFormat="0" applyBorder="0" applyAlignment="0" applyProtection="0">
      <alignment vertical="center"/>
    </xf>
    <xf numFmtId="0" fontId="43" fillId="50" borderId="0" applyNumberFormat="0" applyBorder="0" applyAlignment="0" applyProtection="0">
      <alignment vertical="center"/>
    </xf>
    <xf numFmtId="0" fontId="44" fillId="40" borderId="0" applyNumberFormat="0" applyBorder="0" applyAlignment="0" applyProtection="0">
      <alignment vertical="center"/>
    </xf>
    <xf numFmtId="0" fontId="43" fillId="51" borderId="0" applyNumberFormat="0" applyBorder="0" applyAlignment="0" applyProtection="0">
      <alignment vertical="center"/>
    </xf>
    <xf numFmtId="0" fontId="44" fillId="43" borderId="0" applyNumberFormat="0" applyBorder="0" applyAlignment="0" applyProtection="0">
      <alignment vertical="center"/>
    </xf>
    <xf numFmtId="0" fontId="43" fillId="47" borderId="0" applyNumberFormat="0" applyBorder="0" applyAlignment="0" applyProtection="0">
      <alignment vertical="center"/>
    </xf>
    <xf numFmtId="0" fontId="44" fillId="6" borderId="0" applyNumberFormat="0" applyBorder="0" applyAlignment="0" applyProtection="0">
      <alignment vertical="center"/>
    </xf>
    <xf numFmtId="0" fontId="43" fillId="53" borderId="0" applyNumberFormat="0" applyBorder="0" applyAlignment="0" applyProtection="0">
      <alignment vertical="center"/>
    </xf>
    <xf numFmtId="0" fontId="44" fillId="34" borderId="0" applyNumberFormat="0" applyBorder="0" applyAlignment="0" applyProtection="0">
      <alignment vertical="center"/>
    </xf>
    <xf numFmtId="0" fontId="43" fillId="30" borderId="0" applyNumberFormat="0" applyBorder="0" applyAlignment="0" applyProtection="0">
      <alignment vertical="center"/>
    </xf>
    <xf numFmtId="0" fontId="44" fillId="46" borderId="0" applyNumberFormat="0" applyBorder="0" applyAlignment="0" applyProtection="0">
      <alignment vertical="center"/>
    </xf>
    <xf numFmtId="0" fontId="43" fillId="52" borderId="0" applyNumberFormat="0" applyBorder="0" applyAlignment="0" applyProtection="0">
      <alignment vertical="center"/>
    </xf>
    <xf numFmtId="0" fontId="44" fillId="45" borderId="0" applyNumberFormat="0" applyBorder="0" applyAlignment="0" applyProtection="0">
      <alignment vertical="center"/>
    </xf>
    <xf numFmtId="0" fontId="44" fillId="42" borderId="0" applyNumberFormat="0" applyBorder="0" applyAlignment="0" applyProtection="0">
      <alignment vertical="center"/>
    </xf>
  </cellStyleXfs>
  <cellXfs count="321">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horizontal="justify" wrapText="1"/>
    </xf>
    <xf numFmtId="178" fontId="2" fillId="0" borderId="0" xfId="0" applyNumberFormat="1" applyFont="1" applyFill="1" applyAlignment="1">
      <alignment horizontal="center" vertical="center"/>
    </xf>
    <xf numFmtId="0" fontId="2" fillId="0" borderId="0" xfId="0" applyFont="1" applyFill="1" applyAlignment="1"/>
    <xf numFmtId="178" fontId="2" fillId="0" borderId="0" xfId="0" applyNumberFormat="1" applyFont="1" applyFill="1" applyAlignment="1"/>
    <xf numFmtId="0" fontId="2" fillId="0" borderId="0" xfId="0" applyFont="1" applyFill="1" applyAlignment="1">
      <alignment horizontal="left"/>
    </xf>
    <xf numFmtId="0" fontId="3" fillId="3" borderId="0" xfId="0" applyFont="1" applyFill="1" applyAlignment="1">
      <alignment horizontal="center"/>
    </xf>
    <xf numFmtId="0" fontId="4" fillId="4" borderId="0" xfId="0" applyFont="1" applyFill="1" applyAlignment="1">
      <alignment horizontal="center" vertical="center" wrapText="1"/>
    </xf>
    <xf numFmtId="0" fontId="5" fillId="0" borderId="0" xfId="0" applyFont="1" applyAlignment="1">
      <alignment horizontal="center" vertical="center" wrapText="1"/>
    </xf>
    <xf numFmtId="0" fontId="3" fillId="0" borderId="0" xfId="0" applyFont="1" applyAlignment="1">
      <alignment horizontal="center" wrapText="1"/>
    </xf>
    <xf numFmtId="0" fontId="6" fillId="0" borderId="0" xfId="0" applyFont="1" applyAlignment="1">
      <alignment horizontal="justify" wrapText="1"/>
    </xf>
    <xf numFmtId="0" fontId="6" fillId="0" borderId="0" xfId="0" applyFont="1" applyAlignment="1">
      <alignment horizontal="center" vertical="center" wrapText="1"/>
    </xf>
    <xf numFmtId="181" fontId="0" fillId="0" borderId="0" xfId="0" applyNumberFormat="1" applyAlignment="1">
      <alignment horizontal="center" vertical="center"/>
    </xf>
    <xf numFmtId="0" fontId="7" fillId="3" borderId="0" xfId="0" applyFont="1" applyFill="1" applyAlignment="1">
      <alignment horizontal="center"/>
    </xf>
    <xf numFmtId="181" fontId="7" fillId="3" borderId="0" xfId="0" applyNumberFormat="1" applyFont="1" applyFill="1" applyAlignment="1">
      <alignment horizontal="center"/>
    </xf>
    <xf numFmtId="0" fontId="7" fillId="3" borderId="0" xfId="0" applyFont="1" applyFill="1" applyAlignment="1">
      <alignment horizontal="center" vertical="center"/>
    </xf>
    <xf numFmtId="181" fontId="7" fillId="3" borderId="0" xfId="0" applyNumberFormat="1" applyFont="1" applyFill="1" applyAlignment="1">
      <alignment horizontal="center" vertical="center"/>
    </xf>
    <xf numFmtId="0" fontId="8" fillId="0" borderId="0" xfId="0" applyFont="1"/>
    <xf numFmtId="0" fontId="9" fillId="5" borderId="0" xfId="0" applyFont="1" applyFill="1" applyAlignment="1">
      <alignment horizontal="center" vertical="center"/>
    </xf>
    <xf numFmtId="0" fontId="10" fillId="4" borderId="0" xfId="0" applyFont="1" applyFill="1" applyAlignment="1">
      <alignment horizontal="center" vertical="center" wrapText="1"/>
    </xf>
    <xf numFmtId="0" fontId="11" fillId="4" borderId="0" xfId="0" applyFont="1" applyFill="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justify" vertical="center" wrapText="1"/>
    </xf>
    <xf numFmtId="0" fontId="13" fillId="0" borderId="0" xfId="0" applyFont="1" applyAlignment="1">
      <alignment horizontal="center" vertical="center" wrapText="1"/>
    </xf>
    <xf numFmtId="181" fontId="14" fillId="6" borderId="0" xfId="0" applyNumberFormat="1" applyFont="1" applyFill="1" applyAlignment="1">
      <alignment horizontal="center" vertical="center"/>
    </xf>
    <xf numFmtId="181" fontId="14" fillId="0" borderId="0" xfId="0" applyNumberFormat="1" applyFont="1" applyAlignment="1">
      <alignment horizontal="center" vertical="center"/>
    </xf>
    <xf numFmtId="0" fontId="12" fillId="0" borderId="0" xfId="0" applyFont="1" applyAlignment="1">
      <alignment horizontal="justify" vertical="center"/>
    </xf>
    <xf numFmtId="0" fontId="9" fillId="5" borderId="0" xfId="0" applyFont="1" applyFill="1" applyAlignment="1">
      <alignment horizontal="center"/>
    </xf>
    <xf numFmtId="181" fontId="9" fillId="5" borderId="0" xfId="0" applyNumberFormat="1" applyFont="1" applyFill="1" applyAlignment="1">
      <alignment horizontal="center"/>
    </xf>
    <xf numFmtId="0" fontId="14" fillId="0" borderId="0" xfId="0" applyFont="1"/>
    <xf numFmtId="0" fontId="15" fillId="0" borderId="0" xfId="0" applyFont="1"/>
    <xf numFmtId="0" fontId="16" fillId="5" borderId="0" xfId="0" applyFont="1" applyFill="1" applyAlignment="1">
      <alignment horizontal="center"/>
    </xf>
    <xf numFmtId="0" fontId="11" fillId="5" borderId="0" xfId="0" applyFont="1" applyFill="1" applyAlignment="1">
      <alignment horizontal="center"/>
    </xf>
    <xf numFmtId="0" fontId="13" fillId="7" borderId="0" xfId="0" applyFont="1" applyFill="1" applyAlignment="1">
      <alignment horizontal="center" vertical="center"/>
    </xf>
    <xf numFmtId="0" fontId="13" fillId="7" borderId="0" xfId="0" applyFont="1" applyFill="1" applyAlignment="1">
      <alignment horizontal="center" vertical="center" wrapText="1"/>
    </xf>
    <xf numFmtId="0" fontId="14" fillId="0" borderId="0" xfId="0" applyFont="1" applyAlignment="1">
      <alignment horizontal="justify" vertical="center"/>
    </xf>
    <xf numFmtId="0" fontId="17" fillId="0" borderId="0" xfId="0" applyFont="1" applyFill="1" applyAlignment="1">
      <alignment horizontal="center"/>
    </xf>
    <xf numFmtId="0" fontId="17" fillId="0" borderId="0" xfId="0" applyFont="1" applyFill="1" applyAlignment="1">
      <alignment wrapText="1"/>
    </xf>
    <xf numFmtId="0" fontId="17" fillId="0" borderId="0" xfId="0" applyFont="1" applyFill="1" applyAlignment="1">
      <alignment horizontal="center" vertical="center"/>
    </xf>
    <xf numFmtId="183" fontId="17" fillId="0" borderId="0" xfId="0" applyNumberFormat="1" applyFont="1" applyFill="1" applyAlignment="1">
      <alignment horizontal="center" vertical="center"/>
    </xf>
    <xf numFmtId="0" fontId="18" fillId="8" borderId="4" xfId="0" applyFont="1" applyFill="1" applyBorder="1" applyAlignment="1">
      <alignment horizontal="center"/>
    </xf>
    <xf numFmtId="0" fontId="18" fillId="8" borderId="5" xfId="0" applyFont="1" applyFill="1" applyBorder="1" applyAlignment="1">
      <alignment horizontal="center"/>
    </xf>
    <xf numFmtId="0" fontId="19" fillId="8" borderId="5" xfId="0" applyFont="1" applyFill="1" applyBorder="1" applyAlignment="1">
      <alignment horizontal="center"/>
    </xf>
    <xf numFmtId="0" fontId="18" fillId="8" borderId="6" xfId="0" applyFont="1" applyFill="1" applyBorder="1" applyAlignment="1">
      <alignment horizontal="center"/>
    </xf>
    <xf numFmtId="183" fontId="18" fillId="8" borderId="7" xfId="0" applyNumberFormat="1" applyFont="1" applyFill="1" applyBorder="1" applyAlignment="1">
      <alignment horizontal="center"/>
    </xf>
    <xf numFmtId="0" fontId="18" fillId="8" borderId="8" xfId="0" applyFont="1" applyFill="1" applyBorder="1" applyAlignment="1">
      <alignment horizontal="center"/>
    </xf>
    <xf numFmtId="0" fontId="19" fillId="8" borderId="8" xfId="0" applyFont="1" applyFill="1" applyBorder="1" applyAlignment="1">
      <alignment horizontal="center"/>
    </xf>
    <xf numFmtId="183" fontId="18" fillId="8" borderId="8" xfId="0" applyNumberFormat="1" applyFont="1" applyFill="1" applyBorder="1" applyAlignment="1">
      <alignment horizontal="center"/>
    </xf>
    <xf numFmtId="0" fontId="18" fillId="8" borderId="8" xfId="0" applyNumberFormat="1" applyFont="1" applyFill="1" applyBorder="1" applyAlignment="1">
      <alignment horizontal="center"/>
    </xf>
    <xf numFmtId="0" fontId="17" fillId="0" borderId="0" xfId="0" applyFont="1" applyFill="1" applyAlignment="1"/>
    <xf numFmtId="0" fontId="15" fillId="0" borderId="0" xfId="0" applyFont="1" applyFill="1" applyAlignment="1"/>
    <xf numFmtId="0" fontId="20" fillId="0" borderId="0" xfId="0" applyFont="1" applyFill="1" applyAlignment="1">
      <alignment horizontal="justify" wrapText="1"/>
    </xf>
    <xf numFmtId="0" fontId="17" fillId="0" borderId="0" xfId="0" applyFont="1" applyFill="1" applyAlignment="1">
      <alignment horizontal="justify" wrapText="1"/>
    </xf>
    <xf numFmtId="0" fontId="15" fillId="0" borderId="0" xfId="0" applyFont="1" applyFill="1" applyAlignment="1">
      <alignment horizontal="justify" wrapText="1"/>
    </xf>
    <xf numFmtId="0" fontId="1" fillId="0" borderId="0" xfId="0" applyFont="1" applyFill="1" applyAlignment="1">
      <alignment horizontal="center"/>
    </xf>
    <xf numFmtId="0" fontId="21" fillId="0" borderId="0" xfId="0" applyFont="1" applyFill="1" applyAlignment="1">
      <alignment horizontal="center"/>
    </xf>
    <xf numFmtId="0" fontId="22" fillId="0" borderId="0" xfId="0" applyFont="1" applyFill="1" applyAlignment="1">
      <alignment horizontal="center" vertical="center" wrapText="1"/>
    </xf>
    <xf numFmtId="0" fontId="22" fillId="0" borderId="0" xfId="0" applyFont="1" applyFill="1" applyAlignment="1">
      <alignment horizontal="justify" vertical="center" wrapText="1"/>
    </xf>
    <xf numFmtId="183" fontId="22" fillId="9" borderId="0" xfId="0" applyNumberFormat="1" applyFont="1" applyFill="1" applyAlignment="1">
      <alignment horizontal="center" vertical="center" wrapText="1"/>
    </xf>
    <xf numFmtId="0" fontId="22" fillId="10" borderId="0" xfId="0" applyFont="1" applyFill="1" applyAlignment="1">
      <alignment horizontal="center" vertical="center" wrapText="1"/>
    </xf>
    <xf numFmtId="183" fontId="22" fillId="0" borderId="0" xfId="0" applyNumberFormat="1" applyFont="1" applyFill="1" applyAlignment="1">
      <alignment horizontal="center" vertical="center" wrapText="1"/>
    </xf>
    <xf numFmtId="183" fontId="22" fillId="10" borderId="0" xfId="0" applyNumberFormat="1" applyFont="1" applyFill="1" applyAlignment="1">
      <alignment horizontal="center" vertical="center" wrapText="1"/>
    </xf>
    <xf numFmtId="0" fontId="23" fillId="0" borderId="0" xfId="0" applyFont="1" applyFill="1" applyAlignment="1">
      <alignment horizontal="center" vertical="center"/>
    </xf>
    <xf numFmtId="0" fontId="22" fillId="0" borderId="0" xfId="0" applyFont="1" applyFill="1" applyAlignment="1">
      <alignment horizontal="center" vertical="center"/>
    </xf>
    <xf numFmtId="183" fontId="2" fillId="0" borderId="0" xfId="0" applyNumberFormat="1" applyFont="1" applyFill="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24" fillId="8" borderId="0" xfId="0" applyFont="1" applyFill="1" applyBorder="1" applyAlignment="1">
      <alignment horizontal="center"/>
    </xf>
    <xf numFmtId="0" fontId="24" fillId="8" borderId="0" xfId="0" applyFont="1" applyFill="1" applyBorder="1" applyAlignment="1">
      <alignment horizontal="center" vertical="center" wrapText="1"/>
    </xf>
    <xf numFmtId="0" fontId="24" fillId="8" borderId="0" xfId="0" applyFont="1" applyFill="1" applyBorder="1" applyAlignment="1">
      <alignment horizontal="center" vertical="center"/>
    </xf>
    <xf numFmtId="0" fontId="25" fillId="11" borderId="0" xfId="0" applyFont="1" applyFill="1" applyAlignment="1">
      <alignment horizontal="center"/>
    </xf>
    <xf numFmtId="0" fontId="25" fillId="11" borderId="0" xfId="0" applyFont="1" applyFill="1" applyAlignment="1">
      <alignment horizontal="center" vertical="center" wrapText="1"/>
    </xf>
    <xf numFmtId="0" fontId="25" fillId="11" borderId="0" xfId="0" applyFont="1" applyFill="1" applyAlignment="1">
      <alignment horizontal="center" vertical="center"/>
    </xf>
    <xf numFmtId="0" fontId="26" fillId="12" borderId="0" xfId="0" applyFont="1" applyFill="1" applyAlignment="1">
      <alignment horizontal="center" vertical="center" wrapText="1"/>
    </xf>
    <xf numFmtId="0" fontId="8" fillId="0" borderId="0" xfId="0" applyFont="1" applyAlignment="1">
      <alignment horizontal="center" vertical="center" wrapText="1"/>
    </xf>
    <xf numFmtId="0" fontId="27" fillId="0" borderId="0" xfId="0" applyFont="1" applyAlignment="1">
      <alignment horizontal="justify" wrapText="1"/>
    </xf>
    <xf numFmtId="181" fontId="8" fillId="13" borderId="0" xfId="0" applyNumberFormat="1" applyFont="1" applyFill="1" applyAlignment="1">
      <alignment horizontal="center" vertical="center" wrapText="1"/>
    </xf>
    <xf numFmtId="181" fontId="8" fillId="0" borderId="0" xfId="0" applyNumberFormat="1" applyFont="1" applyAlignment="1">
      <alignment horizontal="center" vertical="center" wrapText="1"/>
    </xf>
    <xf numFmtId="0" fontId="27" fillId="0" borderId="0" xfId="0" applyFont="1" applyAlignment="1">
      <alignment horizontal="justify" vertical="center" wrapText="1"/>
    </xf>
    <xf numFmtId="0" fontId="27" fillId="0" borderId="0" xfId="0" applyFont="1" applyAlignment="1">
      <alignment horizontal="center" vertical="center" wrapText="1"/>
    </xf>
    <xf numFmtId="0" fontId="6" fillId="0" borderId="0" xfId="0" applyFont="1" applyAlignment="1">
      <alignment horizontal="justify" vertical="center" wrapText="1"/>
    </xf>
    <xf numFmtId="0" fontId="28" fillId="0" borderId="0" xfId="0" applyFont="1"/>
    <xf numFmtId="0" fontId="28" fillId="0" borderId="0" xfId="0" applyFont="1" applyAlignment="1">
      <alignment horizontal="center" vertical="center" wrapText="1"/>
    </xf>
    <xf numFmtId="0" fontId="28" fillId="0" borderId="0" xfId="0" applyFont="1" applyAlignment="1">
      <alignment horizontal="center" vertical="center"/>
    </xf>
    <xf numFmtId="0" fontId="25" fillId="8" borderId="0" xfId="0" applyFont="1" applyFill="1" applyBorder="1" applyAlignment="1">
      <alignment horizontal="center"/>
    </xf>
    <xf numFmtId="0" fontId="25" fillId="8" borderId="0" xfId="0" applyFont="1" applyFill="1" applyBorder="1" applyAlignment="1">
      <alignment horizontal="center" vertical="center" wrapText="1"/>
    </xf>
    <xf numFmtId="0" fontId="25" fillId="8" borderId="0" xfId="0" applyFont="1" applyFill="1" applyBorder="1" applyAlignment="1">
      <alignment horizontal="center" vertical="center"/>
    </xf>
    <xf numFmtId="0" fontId="25" fillId="12" borderId="0" xfId="0" applyFont="1" applyFill="1" applyAlignment="1">
      <alignment horizontal="center" vertical="center" wrapText="1"/>
    </xf>
    <xf numFmtId="181" fontId="3" fillId="3" borderId="0" xfId="0" applyNumberFormat="1" applyFont="1" applyFill="1" applyAlignment="1">
      <alignment horizontal="center"/>
    </xf>
    <xf numFmtId="0" fontId="29" fillId="8" borderId="9" xfId="19" applyFont="1" applyFill="1" applyBorder="1" applyAlignment="1">
      <alignment horizontal="center"/>
    </xf>
    <xf numFmtId="0" fontId="29" fillId="8" borderId="10" xfId="19" applyFont="1" applyFill="1" applyBorder="1" applyAlignment="1">
      <alignment horizontal="center"/>
    </xf>
    <xf numFmtId="0" fontId="29" fillId="8" borderId="11" xfId="19" applyFont="1" applyFill="1" applyBorder="1" applyAlignment="1">
      <alignment horizontal="center"/>
    </xf>
    <xf numFmtId="0" fontId="29" fillId="12" borderId="12" xfId="19" applyFont="1" applyFill="1" applyBorder="1" applyAlignment="1">
      <alignment horizontal="center" vertical="center" wrapText="1"/>
    </xf>
    <xf numFmtId="0" fontId="29" fillId="12" borderId="13" xfId="19" applyFont="1" applyFill="1" applyBorder="1" applyAlignment="1">
      <alignment horizontal="center" vertical="center" wrapText="1"/>
    </xf>
    <xf numFmtId="0" fontId="29" fillId="12" borderId="14" xfId="19" applyFont="1" applyFill="1" applyBorder="1" applyAlignment="1">
      <alignment horizontal="center" vertical="center" wrapText="1"/>
    </xf>
    <xf numFmtId="0" fontId="29" fillId="12" borderId="15" xfId="19" applyFont="1" applyFill="1" applyBorder="1" applyAlignment="1">
      <alignment horizontal="center" vertical="center" wrapText="1"/>
    </xf>
    <xf numFmtId="0" fontId="29" fillId="11" borderId="12" xfId="19" applyFont="1" applyFill="1" applyBorder="1" applyAlignment="1">
      <alignment horizontal="center" vertical="center" wrapText="1"/>
    </xf>
    <xf numFmtId="0" fontId="29" fillId="11" borderId="13" xfId="19" applyFont="1" applyFill="1" applyBorder="1" applyAlignment="1">
      <alignment horizontal="center" vertical="center" wrapText="1"/>
    </xf>
    <xf numFmtId="0" fontId="29" fillId="11" borderId="14" xfId="19" applyFont="1" applyFill="1" applyBorder="1" applyAlignment="1">
      <alignment horizontal="center" vertical="center"/>
    </xf>
    <xf numFmtId="0" fontId="29" fillId="11" borderId="15" xfId="19" applyFont="1" applyFill="1" applyBorder="1" applyAlignment="1">
      <alignment horizontal="center" vertical="center"/>
    </xf>
    <xf numFmtId="0" fontId="29" fillId="13" borderId="12" xfId="19" applyFont="1" applyFill="1" applyBorder="1" applyAlignment="1">
      <alignment horizontal="center" vertical="center"/>
    </xf>
    <xf numFmtId="184" fontId="29" fillId="13" borderId="13" xfId="9" applyNumberFormat="1" applyFont="1" applyFill="1" applyBorder="1" applyAlignment="1">
      <alignment horizontal="center" vertical="center"/>
    </xf>
    <xf numFmtId="184" fontId="29" fillId="13" borderId="14" xfId="9" applyNumberFormat="1" applyFont="1" applyFill="1" applyBorder="1" applyAlignment="1">
      <alignment horizontal="center" vertical="center"/>
    </xf>
    <xf numFmtId="184" fontId="29" fillId="13" borderId="15" xfId="9" applyNumberFormat="1" applyFont="1" applyFill="1" applyBorder="1" applyAlignment="1">
      <alignment horizontal="center" vertical="center"/>
    </xf>
    <xf numFmtId="0" fontId="30" fillId="0" borderId="0" xfId="0" applyNumberFormat="1" applyFont="1" applyFill="1" applyBorder="1" applyAlignment="1" applyProtection="1"/>
    <xf numFmtId="0" fontId="23" fillId="0" borderId="16" xfId="0" applyFont="1" applyFill="1" applyBorder="1" applyAlignment="1"/>
    <xf numFmtId="0" fontId="23" fillId="0" borderId="0" xfId="0" applyFont="1" applyFill="1" applyBorder="1" applyAlignment="1"/>
    <xf numFmtId="0" fontId="23" fillId="0" borderId="17" xfId="0" applyFont="1" applyFill="1" applyBorder="1" applyAlignment="1"/>
    <xf numFmtId="184" fontId="29" fillId="0" borderId="18" xfId="19" applyNumberFormat="1" applyFont="1" applyBorder="1" applyAlignment="1">
      <alignment horizontal="center" vertical="center" wrapText="1"/>
    </xf>
    <xf numFmtId="0" fontId="29" fillId="11" borderId="19" xfId="0" applyFont="1" applyFill="1" applyBorder="1" applyAlignment="1">
      <alignment horizontal="center" vertical="center"/>
    </xf>
    <xf numFmtId="0" fontId="29" fillId="11" borderId="20" xfId="0" applyFont="1" applyFill="1" applyBorder="1" applyAlignment="1">
      <alignment horizontal="center" vertical="center"/>
    </xf>
    <xf numFmtId="0" fontId="29" fillId="11" borderId="0" xfId="0" applyFont="1" applyFill="1" applyBorder="1" applyAlignment="1">
      <alignment horizontal="center" vertical="center"/>
    </xf>
    <xf numFmtId="0" fontId="29" fillId="11" borderId="17" xfId="0" applyFont="1" applyFill="1" applyBorder="1" applyAlignment="1">
      <alignment horizontal="center" vertical="center"/>
    </xf>
    <xf numFmtId="0" fontId="23" fillId="11" borderId="16" xfId="0" applyFont="1" applyFill="1" applyBorder="1" applyAlignment="1">
      <alignment horizontal="left" vertical="top"/>
    </xf>
    <xf numFmtId="0" fontId="23" fillId="11" borderId="0" xfId="0" applyFont="1" applyFill="1" applyBorder="1" applyAlignment="1">
      <alignment horizontal="left" vertical="top"/>
    </xf>
    <xf numFmtId="10" fontId="23" fillId="13" borderId="0" xfId="4" applyNumberFormat="1" applyFont="1" applyFill="1" applyBorder="1" applyAlignment="1">
      <alignment horizontal="center" vertical="center"/>
    </xf>
    <xf numFmtId="184" fontId="23" fillId="13" borderId="17" xfId="9" applyNumberFormat="1" applyFont="1" applyFill="1" applyBorder="1" applyAlignment="1">
      <alignment horizontal="center" vertical="center"/>
    </xf>
    <xf numFmtId="0" fontId="23" fillId="14" borderId="16" xfId="0" applyFont="1" applyFill="1" applyBorder="1" applyAlignment="1">
      <alignment horizontal="left" vertical="top"/>
    </xf>
    <xf numFmtId="0" fontId="23" fillId="14" borderId="0" xfId="0" applyFont="1" applyFill="1" applyBorder="1" applyAlignment="1">
      <alignment horizontal="left" vertical="top"/>
    </xf>
    <xf numFmtId="0" fontId="29" fillId="12" borderId="21" xfId="19" applyFont="1" applyFill="1" applyBorder="1" applyAlignment="1">
      <alignment horizontal="center" vertical="center" wrapText="1"/>
    </xf>
    <xf numFmtId="184" fontId="29" fillId="13" borderId="22" xfId="19" applyNumberFormat="1" applyFont="1" applyFill="1" applyBorder="1" applyAlignment="1">
      <alignment horizontal="center" vertical="center" wrapText="1"/>
    </xf>
    <xf numFmtId="0" fontId="29" fillId="11" borderId="21" xfId="19" applyFont="1" applyFill="1" applyBorder="1" applyAlignment="1">
      <alignment horizontal="center" vertical="center" wrapText="1"/>
    </xf>
    <xf numFmtId="0" fontId="29" fillId="11" borderId="14" xfId="19" applyFont="1" applyFill="1" applyBorder="1" applyAlignment="1">
      <alignment horizontal="center" vertical="center" wrapText="1"/>
    </xf>
    <xf numFmtId="0" fontId="29" fillId="11" borderId="15" xfId="19" applyFont="1" applyFill="1" applyBorder="1" applyAlignment="1">
      <alignment horizontal="center" vertical="center" wrapText="1"/>
    </xf>
    <xf numFmtId="0" fontId="29" fillId="14" borderId="19" xfId="0" applyFont="1" applyFill="1" applyBorder="1" applyAlignment="1">
      <alignment horizontal="center" vertical="center"/>
    </xf>
    <xf numFmtId="0" fontId="29" fillId="14" borderId="20" xfId="0" applyFont="1" applyFill="1" applyBorder="1" applyAlignment="1">
      <alignment horizontal="center" vertical="center"/>
    </xf>
    <xf numFmtId="0" fontId="29" fillId="14" borderId="0" xfId="0" applyFont="1" applyFill="1" applyBorder="1" applyAlignment="1">
      <alignment horizontal="center" vertical="center"/>
    </xf>
    <xf numFmtId="0" fontId="29" fillId="14" borderId="17" xfId="0" applyFont="1" applyFill="1" applyBorder="1" applyAlignment="1">
      <alignment horizontal="center" vertical="center"/>
    </xf>
    <xf numFmtId="184" fontId="23" fillId="13" borderId="17" xfId="9" applyNumberFormat="1" applyFont="1" applyFill="1" applyBorder="1"/>
    <xf numFmtId="0" fontId="29" fillId="14" borderId="16" xfId="0" applyFont="1" applyFill="1" applyBorder="1" applyAlignment="1">
      <alignment horizontal="center"/>
    </xf>
    <xf numFmtId="0" fontId="29" fillId="14" borderId="0" xfId="0" applyFont="1" applyFill="1" applyBorder="1" applyAlignment="1">
      <alignment horizontal="center"/>
    </xf>
    <xf numFmtId="10" fontId="29" fillId="13" borderId="0" xfId="0" applyNumberFormat="1" applyFont="1" applyFill="1" applyBorder="1" applyAlignment="1">
      <alignment horizontal="center" vertical="center"/>
    </xf>
    <xf numFmtId="184" fontId="29" fillId="13" borderId="17" xfId="0" applyNumberFormat="1" applyFont="1" applyFill="1" applyBorder="1" applyAlignment="1">
      <alignment horizontal="center" vertical="center"/>
    </xf>
    <xf numFmtId="0" fontId="29" fillId="8" borderId="21" xfId="19" applyFont="1" applyFill="1" applyBorder="1" applyAlignment="1">
      <alignment horizontal="center" vertical="center" wrapText="1"/>
    </xf>
    <xf numFmtId="0" fontId="29" fillId="8" borderId="14" xfId="19" applyFont="1" applyFill="1" applyBorder="1" applyAlignment="1">
      <alignment horizontal="center" vertical="center" wrapText="1"/>
    </xf>
    <xf numFmtId="0" fontId="29" fillId="8" borderId="15" xfId="19" applyFont="1" applyFill="1" applyBorder="1" applyAlignment="1">
      <alignment horizontal="center" vertical="center" wrapText="1"/>
    </xf>
    <xf numFmtId="184" fontId="29" fillId="8" borderId="22" xfId="19" applyNumberFormat="1" applyFont="1" applyFill="1" applyBorder="1" applyAlignment="1">
      <alignment horizontal="center" vertical="center" wrapText="1"/>
    </xf>
    <xf numFmtId="0" fontId="22" fillId="0" borderId="0" xfId="0" applyFont="1" applyFill="1" applyAlignment="1"/>
    <xf numFmtId="0" fontId="2" fillId="0" borderId="0" xfId="0" applyFont="1" applyFill="1" applyAlignment="1">
      <alignment vertical="center" wrapText="1"/>
    </xf>
    <xf numFmtId="0" fontId="31" fillId="15" borderId="23" xfId="0" applyNumberFormat="1" applyFont="1" applyFill="1" applyBorder="1" applyAlignment="1" applyProtection="1">
      <alignment horizontal="center" vertical="center"/>
    </xf>
    <xf numFmtId="0" fontId="31" fillId="15" borderId="24" xfId="0" applyNumberFormat="1" applyFont="1" applyFill="1" applyBorder="1" applyAlignment="1" applyProtection="1">
      <alignment horizontal="center" vertical="center"/>
    </xf>
    <xf numFmtId="0" fontId="32" fillId="16" borderId="25" xfId="0" applyNumberFormat="1" applyFont="1" applyFill="1" applyBorder="1" applyAlignment="1" applyProtection="1">
      <alignment horizontal="left" vertical="center"/>
    </xf>
    <xf numFmtId="10" fontId="32" fillId="17" borderId="0" xfId="0" applyNumberFormat="1" applyFont="1" applyFill="1" applyBorder="1" applyAlignment="1" applyProtection="1">
      <alignment horizontal="center" vertical="center"/>
    </xf>
    <xf numFmtId="0" fontId="32" fillId="18" borderId="26" xfId="0" applyNumberFormat="1" applyFont="1" applyFill="1" applyBorder="1" applyAlignment="1" applyProtection="1">
      <alignment horizontal="left" vertical="center"/>
    </xf>
    <xf numFmtId="185" fontId="32" fillId="17" borderId="0" xfId="0" applyNumberFormat="1" applyFont="1" applyFill="1" applyBorder="1" applyAlignment="1" applyProtection="1">
      <alignment horizontal="center"/>
    </xf>
    <xf numFmtId="186" fontId="32" fillId="17" borderId="0" xfId="0" applyNumberFormat="1" applyFont="1" applyFill="1" applyBorder="1" applyAlignment="1" applyProtection="1">
      <alignment horizontal="center" vertical="center"/>
    </xf>
    <xf numFmtId="0" fontId="33" fillId="0" borderId="0" xfId="0" applyNumberFormat="1" applyFont="1" applyFill="1" applyBorder="1" applyAlignment="1" applyProtection="1"/>
    <xf numFmtId="0" fontId="34" fillId="19" borderId="27" xfId="0" applyFont="1" applyFill="1" applyBorder="1" applyAlignment="1">
      <alignment horizontal="center"/>
    </xf>
    <xf numFmtId="0" fontId="25" fillId="20" borderId="28" xfId="0" applyFont="1" applyFill="1" applyBorder="1" applyAlignment="1">
      <alignment horizontal="left" wrapText="1"/>
    </xf>
    <xf numFmtId="0" fontId="25" fillId="21" borderId="0" xfId="0" applyFont="1" applyFill="1" applyBorder="1" applyAlignment="1">
      <alignment horizontal="left" wrapText="1"/>
    </xf>
    <xf numFmtId="49" fontId="8" fillId="21" borderId="0" xfId="0" applyNumberFormat="1" applyFont="1" applyFill="1" applyBorder="1" applyAlignment="1">
      <alignment horizontal="left"/>
    </xf>
    <xf numFmtId="0" fontId="8" fillId="21" borderId="0" xfId="0" applyFont="1" applyFill="1" applyBorder="1" applyAlignment="1">
      <alignment horizontal="left"/>
    </xf>
    <xf numFmtId="0" fontId="25" fillId="0" borderId="0" xfId="0" applyFont="1" applyBorder="1" applyAlignment="1">
      <alignment horizontal="left" wrapText="1"/>
    </xf>
    <xf numFmtId="0" fontId="8" fillId="0" borderId="0" xfId="0" applyFont="1" applyBorder="1" applyAlignment="1">
      <alignment horizontal="left"/>
    </xf>
    <xf numFmtId="0" fontId="25" fillId="19" borderId="29" xfId="0" applyFont="1" applyFill="1" applyBorder="1" applyAlignment="1">
      <alignment horizontal="center"/>
    </xf>
    <xf numFmtId="0" fontId="8" fillId="20" borderId="30" xfId="0" applyFont="1" applyFill="1" applyBorder="1" applyAlignment="1">
      <alignment horizontal="center"/>
    </xf>
    <xf numFmtId="0" fontId="8" fillId="20" borderId="25" xfId="0" applyFont="1" applyFill="1" applyBorder="1"/>
    <xf numFmtId="0" fontId="8" fillId="22" borderId="25" xfId="0" applyFont="1" applyFill="1" applyBorder="1" applyAlignment="1">
      <alignment horizontal="center"/>
    </xf>
    <xf numFmtId="0" fontId="8" fillId="23" borderId="31" xfId="0" applyFont="1" applyFill="1" applyBorder="1" applyAlignment="1">
      <alignment horizontal="center"/>
    </xf>
    <xf numFmtId="0" fontId="8" fillId="23" borderId="32" xfId="0" applyFont="1" applyFill="1" applyBorder="1"/>
    <xf numFmtId="0" fontId="8" fillId="22" borderId="32" xfId="0" applyFont="1" applyFill="1" applyBorder="1" applyAlignment="1">
      <alignment horizontal="center"/>
    </xf>
    <xf numFmtId="0" fontId="8" fillId="20" borderId="31" xfId="0" applyFont="1" applyFill="1" applyBorder="1" applyAlignment="1">
      <alignment horizontal="center"/>
    </xf>
    <xf numFmtId="0" fontId="8" fillId="20" borderId="32" xfId="0" applyFont="1" applyFill="1" applyBorder="1"/>
    <xf numFmtId="0" fontId="25" fillId="19" borderId="27" xfId="0" applyFont="1" applyFill="1" applyBorder="1" applyAlignment="1">
      <alignment horizontal="center"/>
    </xf>
    <xf numFmtId="0" fontId="25" fillId="19" borderId="33" xfId="0" applyFont="1" applyFill="1" applyBorder="1" applyAlignment="1">
      <alignment horizontal="center" wrapText="1"/>
    </xf>
    <xf numFmtId="0" fontId="25" fillId="19" borderId="23" xfId="0" applyFont="1" applyFill="1" applyBorder="1" applyAlignment="1">
      <alignment horizontal="center"/>
    </xf>
    <xf numFmtId="0" fontId="8" fillId="20" borderId="32" xfId="0" applyFont="1" applyFill="1" applyBorder="1" applyAlignment="1">
      <alignment horizontal="center"/>
    </xf>
    <xf numFmtId="0" fontId="8" fillId="22" borderId="34" xfId="0" applyFont="1" applyFill="1" applyBorder="1" applyAlignment="1">
      <alignment horizontal="center"/>
    </xf>
    <xf numFmtId="0" fontId="8" fillId="23" borderId="32" xfId="0" applyFont="1" applyFill="1" applyBorder="1" applyAlignment="1">
      <alignment horizontal="center"/>
    </xf>
    <xf numFmtId="187" fontId="8" fillId="22" borderId="34" xfId="0" applyNumberFormat="1" applyFont="1" applyFill="1" applyBorder="1" applyAlignment="1">
      <alignment horizontal="center"/>
    </xf>
    <xf numFmtId="0" fontId="25" fillId="0" borderId="0" xfId="0" applyFont="1" applyBorder="1" applyAlignment="1">
      <alignment horizontal="center"/>
    </xf>
    <xf numFmtId="0" fontId="8" fillId="0" borderId="0" xfId="0" applyFont="1" applyAlignment="1">
      <alignment horizontal="center"/>
    </xf>
    <xf numFmtId="0" fontId="8" fillId="22" borderId="0" xfId="0" applyFont="1" applyFill="1" applyAlignment="1">
      <alignment horizontal="center"/>
    </xf>
    <xf numFmtId="187" fontId="8" fillId="22" borderId="0" xfId="0" applyNumberFormat="1" applyFont="1" applyFill="1" applyAlignment="1">
      <alignment horizontal="center"/>
    </xf>
    <xf numFmtId="49" fontId="8" fillId="22" borderId="0" xfId="0" applyNumberFormat="1" applyFont="1" applyFill="1" applyAlignment="1">
      <alignment horizontal="center"/>
    </xf>
    <xf numFmtId="10" fontId="8" fillId="0" borderId="0" xfId="0" applyNumberFormat="1" applyFont="1"/>
    <xf numFmtId="187" fontId="8" fillId="0" borderId="0" xfId="0" applyNumberFormat="1" applyFont="1" applyAlignment="1">
      <alignment horizontal="center"/>
    </xf>
    <xf numFmtId="0" fontId="25" fillId="19" borderId="0" xfId="0" applyFont="1" applyFill="1" applyBorder="1" applyAlignment="1">
      <alignment horizontal="center"/>
    </xf>
    <xf numFmtId="10" fontId="8" fillId="0" borderId="0" xfId="4" applyNumberFormat="1" applyFont="1" applyBorder="1" applyAlignment="1" applyProtection="1">
      <alignment horizontal="center"/>
    </xf>
    <xf numFmtId="0" fontId="8" fillId="0" borderId="0" xfId="0" applyFont="1" applyAlignment="1"/>
    <xf numFmtId="0" fontId="25" fillId="19" borderId="0" xfId="0" applyFont="1" applyFill="1" applyBorder="1" applyAlignment="1">
      <alignment horizontal="center" vertical="center"/>
    </xf>
    <xf numFmtId="0" fontId="25" fillId="20" borderId="25" xfId="0" applyFont="1" applyFill="1" applyBorder="1" applyAlignment="1">
      <alignment horizontal="center" vertical="center"/>
    </xf>
    <xf numFmtId="185" fontId="8" fillId="22" borderId="26" xfId="0" applyNumberFormat="1" applyFont="1" applyFill="1" applyBorder="1" applyAlignment="1">
      <alignment horizontal="center" vertical="center"/>
    </xf>
    <xf numFmtId="0" fontId="25" fillId="23" borderId="26" xfId="0" applyFont="1" applyFill="1" applyBorder="1" applyAlignment="1">
      <alignment horizontal="center" vertical="center"/>
    </xf>
    <xf numFmtId="185" fontId="25" fillId="22" borderId="26" xfId="0" applyNumberFormat="1" applyFont="1" applyFill="1" applyBorder="1" applyAlignment="1">
      <alignment horizontal="center" vertical="center"/>
    </xf>
    <xf numFmtId="10" fontId="8" fillId="0" borderId="0" xfId="0" applyNumberFormat="1" applyFont="1" applyAlignment="1">
      <alignment horizontal="center"/>
    </xf>
    <xf numFmtId="10" fontId="8" fillId="22" borderId="0" xfId="4" applyNumberFormat="1" applyFont="1" applyFill="1" applyBorder="1" applyAlignment="1" applyProtection="1">
      <alignment horizontal="center"/>
    </xf>
    <xf numFmtId="0" fontId="8" fillId="0" borderId="0" xfId="0" applyFont="1" applyAlignment="1">
      <alignment horizontal="center" vertical="center"/>
    </xf>
    <xf numFmtId="0" fontId="8" fillId="0" borderId="0" xfId="0" applyFont="1" applyAlignment="1">
      <alignment vertical="center"/>
    </xf>
    <xf numFmtId="187" fontId="8" fillId="22" borderId="0" xfId="0" applyNumberFormat="1" applyFont="1" applyFill="1" applyAlignment="1">
      <alignment horizontal="center" vertical="center"/>
    </xf>
    <xf numFmtId="187" fontId="0" fillId="22" borderId="0" xfId="0" applyNumberFormat="1" applyFill="1" applyAlignment="1">
      <alignment horizontal="center"/>
    </xf>
    <xf numFmtId="187" fontId="8" fillId="0" borderId="0" xfId="0" applyNumberFormat="1" applyFont="1" applyAlignment="1">
      <alignment horizontal="left" vertical="center"/>
    </xf>
    <xf numFmtId="10" fontId="8" fillId="0" borderId="0" xfId="4" applyNumberFormat="1" applyFont="1" applyBorder="1" applyAlignment="1" applyProtection="1">
      <alignment horizontal="center" vertical="center"/>
    </xf>
    <xf numFmtId="0" fontId="8" fillId="0" borderId="0" xfId="0" applyFont="1" applyAlignment="1">
      <alignment wrapText="1"/>
    </xf>
    <xf numFmtId="10" fontId="8" fillId="22" borderId="0" xfId="4" applyNumberFormat="1" applyFont="1" applyFill="1" applyBorder="1" applyAlignment="1" applyProtection="1">
      <alignment horizontal="center" vertical="center"/>
    </xf>
    <xf numFmtId="10" fontId="8" fillId="13" borderId="0" xfId="4" applyNumberFormat="1" applyFont="1" applyFill="1" applyBorder="1" applyAlignment="1" applyProtection="1">
      <alignment horizontal="center" vertical="center"/>
    </xf>
    <xf numFmtId="187" fontId="8" fillId="13" borderId="0" xfId="0" applyNumberFormat="1" applyFont="1" applyFill="1" applyAlignment="1">
      <alignment horizontal="center"/>
    </xf>
    <xf numFmtId="0" fontId="25" fillId="19" borderId="0" xfId="0" applyFont="1" applyFill="1" applyBorder="1" applyAlignment="1">
      <alignment horizontal="center" wrapText="1"/>
    </xf>
    <xf numFmtId="176" fontId="8" fillId="22" borderId="0" xfId="0" applyNumberFormat="1" applyFont="1" applyFill="1" applyAlignment="1">
      <alignment horizontal="center"/>
    </xf>
    <xf numFmtId="0" fontId="8" fillId="0" borderId="0" xfId="0" applyFont="1" applyAlignment="1">
      <alignment vertical="center" wrapText="1"/>
    </xf>
    <xf numFmtId="0" fontId="35" fillId="0" borderId="0" xfId="0" applyFont="1" applyAlignment="1">
      <alignment horizontal="center" vertical="center" wrapText="1"/>
    </xf>
    <xf numFmtId="187" fontId="35" fillId="0" borderId="0" xfId="0" applyNumberFormat="1" applyFont="1" applyAlignment="1">
      <alignment vertical="center"/>
    </xf>
    <xf numFmtId="187" fontId="35" fillId="0" borderId="0" xfId="0" applyNumberFormat="1" applyFont="1" applyAlignment="1">
      <alignment horizontal="center"/>
    </xf>
    <xf numFmtId="187" fontId="36" fillId="22" borderId="0" xfId="0" applyNumberFormat="1" applyFont="1" applyFill="1" applyAlignment="1">
      <alignment horizontal="center"/>
    </xf>
    <xf numFmtId="187" fontId="8" fillId="0" borderId="0" xfId="0" applyNumberFormat="1" applyFont="1" applyAlignment="1">
      <alignment horizontal="center" vertical="center"/>
    </xf>
    <xf numFmtId="0" fontId="25" fillId="19" borderId="23" xfId="0" applyFont="1" applyFill="1" applyBorder="1" applyAlignment="1">
      <alignment horizontal="center" vertical="center"/>
    </xf>
    <xf numFmtId="0" fontId="8" fillId="20" borderId="25" xfId="0" applyFont="1" applyFill="1" applyBorder="1" applyAlignment="1">
      <alignment horizontal="left" vertical="center"/>
    </xf>
    <xf numFmtId="0" fontId="8" fillId="23" borderId="26" xfId="0" applyFont="1" applyFill="1" applyBorder="1" applyAlignment="1">
      <alignment horizontal="left" vertical="center"/>
    </xf>
    <xf numFmtId="185" fontId="8" fillId="22" borderId="0" xfId="0" applyNumberFormat="1" applyFont="1" applyFill="1" applyAlignment="1">
      <alignment horizontal="center" vertical="center"/>
    </xf>
    <xf numFmtId="186" fontId="8" fillId="22" borderId="0" xfId="0" applyNumberFormat="1" applyFont="1" applyFill="1" applyAlignment="1">
      <alignment horizontal="center" vertical="center"/>
    </xf>
    <xf numFmtId="0" fontId="8" fillId="0" borderId="0" xfId="0" applyFont="1" applyAlignment="1">
      <alignment horizontal="right"/>
    </xf>
    <xf numFmtId="0" fontId="8" fillId="19" borderId="0" xfId="0" applyFont="1" applyFill="1"/>
    <xf numFmtId="0" fontId="25" fillId="19" borderId="0" xfId="0" applyFont="1" applyFill="1" applyAlignment="1">
      <alignment horizontal="center" vertical="center"/>
    </xf>
    <xf numFmtId="187" fontId="25" fillId="19" borderId="0" xfId="0" applyNumberFormat="1" applyFont="1" applyFill="1" applyAlignment="1">
      <alignment horizontal="center"/>
    </xf>
    <xf numFmtId="0" fontId="8" fillId="22" borderId="0" xfId="0" applyFont="1" applyFill="1" applyAlignment="1">
      <alignment horizontal="center" wrapText="1"/>
    </xf>
    <xf numFmtId="185" fontId="8" fillId="22" borderId="0" xfId="0" applyNumberFormat="1" applyFont="1" applyFill="1"/>
    <xf numFmtId="0" fontId="37" fillId="19" borderId="27" xfId="0" applyFont="1" applyFill="1" applyBorder="1" applyAlignment="1">
      <alignment horizontal="center"/>
    </xf>
    <xf numFmtId="0" fontId="26" fillId="20" borderId="28" xfId="0" applyFont="1" applyFill="1" applyBorder="1" applyAlignment="1">
      <alignment horizontal="left" wrapText="1"/>
    </xf>
    <xf numFmtId="0" fontId="26" fillId="21" borderId="0" xfId="0" applyFont="1" applyFill="1" applyBorder="1" applyAlignment="1">
      <alignment horizontal="left" wrapText="1"/>
    </xf>
    <xf numFmtId="49" fontId="0" fillId="21" borderId="0" xfId="0" applyNumberFormat="1" applyFont="1" applyFill="1" applyBorder="1" applyAlignment="1">
      <alignment horizontal="left"/>
    </xf>
    <xf numFmtId="0" fontId="0" fillId="21" borderId="0" xfId="0" applyFont="1" applyFill="1" applyBorder="1" applyAlignment="1">
      <alignment horizontal="left"/>
    </xf>
    <xf numFmtId="0" fontId="26" fillId="0" borderId="0" xfId="0" applyFont="1" applyBorder="1" applyAlignment="1">
      <alignment horizontal="left" wrapText="1"/>
    </xf>
    <xf numFmtId="0" fontId="0" fillId="0" borderId="0" xfId="0" applyFont="1" applyBorder="1" applyAlignment="1">
      <alignment horizontal="left"/>
    </xf>
    <xf numFmtId="0" fontId="38" fillId="19" borderId="29" xfId="0" applyFont="1" applyFill="1" applyBorder="1" applyAlignment="1">
      <alignment horizontal="center"/>
    </xf>
    <xf numFmtId="0" fontId="0" fillId="20" borderId="30" xfId="0" applyFont="1" applyFill="1" applyBorder="1" applyAlignment="1">
      <alignment horizontal="center"/>
    </xf>
    <xf numFmtId="0" fontId="0" fillId="20" borderId="25" xfId="0" applyFont="1" applyFill="1" applyBorder="1"/>
    <xf numFmtId="0" fontId="0" fillId="22" borderId="25" xfId="0" applyFont="1" applyFill="1" applyBorder="1" applyAlignment="1">
      <alignment horizontal="center"/>
    </xf>
    <xf numFmtId="0" fontId="0" fillId="23" borderId="31" xfId="0" applyFont="1" applyFill="1" applyBorder="1" applyAlignment="1">
      <alignment horizontal="center"/>
    </xf>
    <xf numFmtId="0" fontId="0" fillId="23" borderId="32" xfId="0" applyFont="1" applyFill="1" applyBorder="1"/>
    <xf numFmtId="0" fontId="0" fillId="22" borderId="32" xfId="0" applyFont="1" applyFill="1" applyBorder="1" applyAlignment="1">
      <alignment horizontal="center"/>
    </xf>
    <xf numFmtId="0" fontId="0" fillId="20" borderId="31" xfId="0" applyFont="1" applyFill="1" applyBorder="1" applyAlignment="1">
      <alignment horizontal="center"/>
    </xf>
    <xf numFmtId="0" fontId="0" fillId="20" borderId="32" xfId="0" applyFont="1" applyFill="1" applyBorder="1"/>
    <xf numFmtId="0" fontId="38" fillId="19" borderId="27" xfId="0" applyFont="1" applyFill="1" applyBorder="1" applyAlignment="1">
      <alignment horizontal="center"/>
    </xf>
    <xf numFmtId="0" fontId="38" fillId="19" borderId="33" xfId="0" applyFont="1" applyFill="1" applyBorder="1" applyAlignment="1">
      <alignment horizontal="center" wrapText="1"/>
    </xf>
    <xf numFmtId="0" fontId="38" fillId="19" borderId="23" xfId="0" applyFont="1" applyFill="1" applyBorder="1" applyAlignment="1">
      <alignment horizontal="center"/>
    </xf>
    <xf numFmtId="0" fontId="0" fillId="20" borderId="32" xfId="0" applyFont="1" applyFill="1" applyBorder="1" applyAlignment="1">
      <alignment horizontal="center"/>
    </xf>
    <xf numFmtId="0" fontId="0" fillId="22" borderId="34" xfId="0" applyFont="1" applyFill="1" applyBorder="1" applyAlignment="1">
      <alignment horizontal="center"/>
    </xf>
    <xf numFmtId="0" fontId="0" fillId="23" borderId="32" xfId="0" applyFont="1" applyFill="1" applyBorder="1" applyAlignment="1">
      <alignment horizontal="center"/>
    </xf>
    <xf numFmtId="187" fontId="0" fillId="22" borderId="34" xfId="0" applyNumberFormat="1" applyFont="1" applyFill="1" applyBorder="1" applyAlignment="1">
      <alignment horizontal="center"/>
    </xf>
    <xf numFmtId="0" fontId="26" fillId="0" borderId="0" xfId="0" applyFont="1" applyBorder="1" applyAlignment="1">
      <alignment horizontal="center"/>
    </xf>
    <xf numFmtId="0" fontId="0" fillId="0" borderId="0" xfId="0" applyFont="1" applyAlignment="1">
      <alignment horizontal="center"/>
    </xf>
    <xf numFmtId="0" fontId="0" fillId="22" borderId="0" xfId="0" applyFill="1" applyAlignment="1">
      <alignment horizontal="center"/>
    </xf>
    <xf numFmtId="0" fontId="0" fillId="22" borderId="0" xfId="0" applyFont="1" applyFill="1" applyAlignment="1">
      <alignment horizontal="center"/>
    </xf>
    <xf numFmtId="49" fontId="0" fillId="22" borderId="0" xfId="0" applyNumberFormat="1" applyFont="1" applyFill="1" applyAlignment="1">
      <alignment horizontal="center"/>
    </xf>
    <xf numFmtId="0" fontId="0" fillId="0" borderId="0" xfId="0" applyFont="1"/>
    <xf numFmtId="10" fontId="0" fillId="0" borderId="0" xfId="0" applyNumberFormat="1"/>
    <xf numFmtId="187" fontId="0" fillId="0" borderId="0" xfId="0" applyNumberFormat="1" applyAlignment="1">
      <alignment horizontal="center"/>
    </xf>
    <xf numFmtId="0" fontId="38" fillId="19" borderId="0" xfId="0" applyFont="1" applyFill="1" applyBorder="1" applyAlignment="1">
      <alignment horizontal="center"/>
    </xf>
    <xf numFmtId="10" fontId="0" fillId="0" borderId="0" xfId="4" applyNumberFormat="1" applyFont="1" applyBorder="1" applyAlignment="1" applyProtection="1">
      <alignment horizontal="center"/>
    </xf>
    <xf numFmtId="0" fontId="0" fillId="0" borderId="0" xfId="0" applyAlignment="1"/>
    <xf numFmtId="0" fontId="38" fillId="19" borderId="0" xfId="0" applyFont="1" applyFill="1" applyBorder="1" applyAlignment="1">
      <alignment horizontal="center" vertical="center"/>
    </xf>
    <xf numFmtId="0" fontId="26" fillId="20" borderId="25" xfId="0" applyFont="1" applyFill="1" applyBorder="1" applyAlignment="1">
      <alignment horizontal="center" vertical="center"/>
    </xf>
    <xf numFmtId="185" fontId="0" fillId="22" borderId="26" xfId="0" applyNumberFormat="1" applyFont="1" applyFill="1" applyBorder="1" applyAlignment="1">
      <alignment horizontal="center" vertical="center"/>
    </xf>
    <xf numFmtId="0" fontId="26" fillId="23" borderId="26" xfId="0" applyFont="1" applyFill="1" applyBorder="1" applyAlignment="1">
      <alignment horizontal="center" vertical="center"/>
    </xf>
    <xf numFmtId="185" fontId="26" fillId="22" borderId="26" xfId="0" applyNumberFormat="1" applyFont="1" applyFill="1" applyBorder="1" applyAlignment="1">
      <alignment horizontal="center" vertical="center"/>
    </xf>
    <xf numFmtId="10" fontId="0" fillId="0" borderId="0" xfId="0" applyNumberFormat="1" applyAlignment="1">
      <alignment horizontal="center"/>
    </xf>
    <xf numFmtId="10" fontId="0" fillId="22" borderId="0" xfId="4" applyNumberFormat="1" applyFont="1" applyFill="1" applyBorder="1" applyAlignment="1" applyProtection="1">
      <alignment horizontal="center"/>
    </xf>
    <xf numFmtId="187" fontId="0" fillId="22" borderId="0" xfId="0" applyNumberFormat="1" applyFont="1" applyFill="1" applyAlignment="1">
      <alignment horizontal="center"/>
    </xf>
    <xf numFmtId="0" fontId="0" fillId="0" borderId="0" xfId="0" applyFont="1" applyAlignment="1">
      <alignment horizontal="center" vertical="center"/>
    </xf>
    <xf numFmtId="0" fontId="0" fillId="0" borderId="0" xfId="0" applyFont="1" applyAlignment="1">
      <alignment vertical="center"/>
    </xf>
    <xf numFmtId="187" fontId="0" fillId="22" borderId="0" xfId="0" applyNumberFormat="1" applyFill="1" applyAlignment="1">
      <alignment horizontal="center" vertical="center"/>
    </xf>
    <xf numFmtId="187" fontId="0" fillId="0" borderId="0" xfId="0" applyNumberFormat="1" applyFont="1" applyAlignment="1">
      <alignment horizontal="left" vertical="center"/>
    </xf>
    <xf numFmtId="10" fontId="0" fillId="0" borderId="0" xfId="4" applyNumberFormat="1" applyFont="1" applyBorder="1" applyAlignment="1" applyProtection="1">
      <alignment horizontal="center" vertical="center"/>
    </xf>
    <xf numFmtId="0" fontId="0" fillId="0" borderId="0" xfId="0" applyFont="1" applyAlignment="1">
      <alignment wrapText="1"/>
    </xf>
    <xf numFmtId="10" fontId="0" fillId="22" borderId="0" xfId="4" applyNumberFormat="1" applyFont="1" applyFill="1" applyBorder="1" applyAlignment="1" applyProtection="1">
      <alignment horizontal="center" vertical="center"/>
    </xf>
    <xf numFmtId="10" fontId="0" fillId="13" borderId="0" xfId="4" applyNumberFormat="1" applyFont="1" applyFill="1" applyBorder="1" applyAlignment="1" applyProtection="1">
      <alignment horizontal="center" vertical="center"/>
    </xf>
    <xf numFmtId="187" fontId="0" fillId="13" borderId="0" xfId="0" applyNumberFormat="1" applyFill="1" applyAlignment="1">
      <alignment horizontal="center"/>
    </xf>
    <xf numFmtId="0" fontId="38" fillId="19" borderId="0" xfId="0" applyFont="1" applyFill="1" applyBorder="1" applyAlignment="1">
      <alignment horizontal="center" wrapText="1"/>
    </xf>
    <xf numFmtId="176" fontId="0" fillId="22" borderId="0" xfId="0" applyNumberFormat="1" applyFill="1" applyAlignment="1">
      <alignment horizontal="center"/>
    </xf>
    <xf numFmtId="0" fontId="0" fillId="0" borderId="0" xfId="0" applyAlignment="1">
      <alignment vertical="center" wrapText="1"/>
    </xf>
    <xf numFmtId="0" fontId="35" fillId="0" borderId="0" xfId="0" applyFont="1" applyAlignment="1">
      <alignment horizontal="center"/>
    </xf>
    <xf numFmtId="187" fontId="39" fillId="22" borderId="0" xfId="0" applyNumberFormat="1" applyFont="1" applyFill="1" applyAlignment="1">
      <alignment horizontal="center"/>
    </xf>
    <xf numFmtId="187" fontId="0" fillId="0" borderId="0" xfId="0" applyNumberFormat="1" applyAlignment="1">
      <alignment horizontal="center" vertical="center"/>
    </xf>
    <xf numFmtId="0" fontId="38" fillId="19" borderId="23" xfId="0" applyFont="1" applyFill="1" applyBorder="1" applyAlignment="1">
      <alignment horizontal="center" vertical="center"/>
    </xf>
    <xf numFmtId="0" fontId="0" fillId="20" borderId="25" xfId="0" applyFont="1" applyFill="1" applyBorder="1" applyAlignment="1">
      <alignment horizontal="left" vertical="center"/>
    </xf>
    <xf numFmtId="0" fontId="0" fillId="23" borderId="26" xfId="0" applyFont="1" applyFill="1" applyBorder="1" applyAlignment="1">
      <alignment horizontal="left" vertical="center"/>
    </xf>
    <xf numFmtId="185" fontId="0" fillId="22" borderId="0" xfId="0" applyNumberFormat="1" applyFill="1" applyAlignment="1">
      <alignment horizontal="center"/>
    </xf>
    <xf numFmtId="186" fontId="0" fillId="22" borderId="0" xfId="0" applyNumberFormat="1" applyFill="1" applyAlignment="1">
      <alignment horizontal="center" vertical="center"/>
    </xf>
    <xf numFmtId="0" fontId="0" fillId="0" borderId="0" xfId="0" applyAlignment="1">
      <alignment horizontal="center"/>
    </xf>
    <xf numFmtId="0" fontId="0" fillId="0" borderId="0" xfId="0" applyFont="1" applyAlignment="1">
      <alignment horizontal="right"/>
    </xf>
    <xf numFmtId="0" fontId="40" fillId="19" borderId="0" xfId="0" applyFont="1" applyFill="1"/>
    <xf numFmtId="0" fontId="38" fillId="19" borderId="0" xfId="0" applyFont="1" applyFill="1" applyAlignment="1">
      <alignment horizontal="center" vertical="center"/>
    </xf>
    <xf numFmtId="187" fontId="38" fillId="19" borderId="0" xfId="0" applyNumberFormat="1" applyFont="1" applyFill="1" applyAlignment="1">
      <alignment horizontal="center"/>
    </xf>
    <xf numFmtId="0" fontId="41" fillId="0" borderId="0" xfId="0" applyFont="1"/>
    <xf numFmtId="178" fontId="0" fillId="0" borderId="0" xfId="0" applyNumberFormat="1" applyAlignment="1">
      <alignment horizontal="center" vertical="center"/>
    </xf>
    <xf numFmtId="0" fontId="40" fillId="19" borderId="0" xfId="0" applyFont="1" applyFill="1" applyAlignment="1">
      <alignment wrapText="1"/>
    </xf>
    <xf numFmtId="0" fontId="38" fillId="19" borderId="0" xfId="0" applyFont="1" applyFill="1" applyAlignment="1">
      <alignment horizontal="center" vertical="center" wrapText="1"/>
    </xf>
    <xf numFmtId="187" fontId="38" fillId="19" borderId="0" xfId="0" applyNumberFormat="1" applyFont="1" applyFill="1" applyAlignment="1">
      <alignment horizontal="center" wrapText="1"/>
    </xf>
    <xf numFmtId="178" fontId="0" fillId="22" borderId="0" xfId="0" applyNumberFormat="1" applyFill="1" applyAlignment="1">
      <alignment horizontal="center" vertical="center"/>
    </xf>
    <xf numFmtId="178" fontId="0" fillId="13" borderId="0" xfId="0" applyNumberFormat="1" applyFill="1" applyAlignment="1">
      <alignment horizontal="center" vertical="center"/>
    </xf>
    <xf numFmtId="187" fontId="35" fillId="0" borderId="0" xfId="0" applyNumberFormat="1" applyFont="1" applyAlignment="1">
      <alignment vertical="center" wrapText="1"/>
    </xf>
    <xf numFmtId="187" fontId="35" fillId="0" borderId="0" xfId="0" applyNumberFormat="1" applyFont="1" applyAlignment="1">
      <alignment horizontal="center" wrapText="1"/>
    </xf>
    <xf numFmtId="185" fontId="0" fillId="22" borderId="0" xfId="0" applyNumberFormat="1" applyFill="1"/>
    <xf numFmtId="187" fontId="0" fillId="13" borderId="0" xfId="0" applyNumberFormat="1" applyFill="1" applyAlignment="1">
      <alignment horizontal="center" vertical="center"/>
    </xf>
    <xf numFmtId="181" fontId="8" fillId="22" borderId="0" xfId="0" applyNumberFormat="1" applyFont="1" applyFill="1" applyAlignment="1">
      <alignment horizontal="center"/>
    </xf>
    <xf numFmtId="185" fontId="0" fillId="22" borderId="0" xfId="0" applyNumberFormat="1" applyFill="1" applyAlignment="1">
      <alignment horizontal="center" vertical="center"/>
    </xf>
    <xf numFmtId="0" fontId="26" fillId="0" borderId="35" xfId="0" applyFont="1" applyBorder="1" applyAlignment="1">
      <alignment horizontal="center"/>
    </xf>
    <xf numFmtId="179" fontId="0" fillId="22" borderId="0" xfId="9" applyFont="1" applyFill="1" applyBorder="1" applyAlignment="1" applyProtection="1">
      <alignment horizontal="center"/>
    </xf>
    <xf numFmtId="188" fontId="0" fillId="22" borderId="0" xfId="0" applyNumberFormat="1" applyFill="1" applyAlignment="1">
      <alignment horizontal="center"/>
    </xf>
    <xf numFmtId="9" fontId="0" fillId="22" borderId="0" xfId="0" applyNumberFormat="1" applyFill="1" applyAlignment="1">
      <alignment horizontal="center"/>
    </xf>
    <xf numFmtId="0" fontId="0" fillId="0" borderId="0" xfId="0" applyFont="1" applyAlignment="1"/>
    <xf numFmtId="10" fontId="0" fillId="22" borderId="0" xfId="4" applyNumberFormat="1" applyFont="1" applyFill="1" applyBorder="1" applyAlignment="1" applyProtection="1"/>
    <xf numFmtId="10" fontId="0" fillId="0" borderId="0" xfId="4" applyNumberFormat="1" applyFont="1" applyBorder="1" applyAlignment="1" applyProtection="1"/>
    <xf numFmtId="0" fontId="26" fillId="0" borderId="0" xfId="0" applyFont="1" applyBorder="1" applyAlignment="1">
      <alignment horizontal="center" vertical="center"/>
    </xf>
    <xf numFmtId="0" fontId="26" fillId="0" borderId="0" xfId="0" applyFont="1" applyBorder="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87" fontId="0" fillId="0" borderId="0" xfId="0" applyNumberFormat="1" applyFont="1" applyAlignment="1">
      <alignment horizontal="center" vertical="center" wrapText="1"/>
    </xf>
    <xf numFmtId="187" fontId="40" fillId="19" borderId="0" xfId="0" applyNumberFormat="1" applyFont="1" applyFill="1" applyAlignment="1">
      <alignment horizontal="center"/>
    </xf>
    <xf numFmtId="0" fontId="26" fillId="24" borderId="36" xfId="0" applyFont="1" applyFill="1" applyBorder="1" applyAlignment="1">
      <alignment horizontal="center"/>
    </xf>
    <xf numFmtId="0" fontId="0" fillId="24" borderId="0" xfId="0" applyFont="1" applyFill="1" applyBorder="1" applyAlignment="1">
      <alignment horizontal="left" vertical="center" wrapText="1"/>
    </xf>
    <xf numFmtId="0" fontId="0" fillId="24" borderId="0" xfId="0" applyFont="1" applyFill="1" applyBorder="1" applyAlignment="1">
      <alignment horizontal="left" wrapText="1"/>
    </xf>
    <xf numFmtId="0" fontId="26" fillId="24" borderId="0" xfId="0" applyFont="1" applyFill="1" applyBorder="1" applyAlignment="1">
      <alignment horizontal="left" vertical="center" wrapText="1"/>
    </xf>
    <xf numFmtId="0" fontId="42" fillId="24" borderId="0" xfId="0" applyFont="1" applyFill="1" applyBorder="1" applyAlignment="1">
      <alignment horizontal="center"/>
    </xf>
    <xf numFmtId="0" fontId="0" fillId="24" borderId="0" xfId="0" applyFont="1" applyFill="1" applyBorder="1" applyAlignment="1">
      <alignment horizontal="center"/>
    </xf>
  </cellXfs>
  <cellStyles count="49">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60% - Ênfase 3" xfId="43" builtinId="40"/>
    <cellStyle name="20% - Ênfase 4" xfId="44" builtinId="42"/>
    <cellStyle name="60% - Ênfase 4" xfId="45" builtinId="44"/>
    <cellStyle name="40% - Ênfase 5" xfId="46" builtinId="47"/>
    <cellStyle name="60% - Ênfase 5" xfId="47" builtinId="48"/>
    <cellStyle name="60% - Ênfase 6" xfId="48" builtinId="52"/>
  </cellStyles>
  <dxfs count="446">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horizontal="center" vertical="center" wrapText="1"/>
    </dxf>
    <dxf>
      <alignment wrapText="1"/>
    </dxf>
    <dxf>
      <alignment horizontal="center" vertical="center"/>
    </dxf>
    <dxf>
      <alignment wrapText="1"/>
    </dxf>
    <dxf>
      <alignment wrapText="1"/>
    </dxf>
    <dxf>
      <alignment wrapText="1"/>
    </dxf>
    <dxf>
      <alignment wrapText="1"/>
    </dxf>
    <dxf>
      <alignment wrapText="1"/>
    </dxf>
    <dxf>
      <alignment horizontal="center" vertical="center" wrapText="1"/>
    </dxf>
    <dxf>
      <alignment wrapText="1"/>
    </dxf>
    <dxf>
      <alignment horizontal="center" vertical="center"/>
    </dxf>
    <dxf>
      <alignment wrapText="1"/>
    </dxf>
    <dxf>
      <alignment wrapText="1"/>
    </dxf>
    <dxf>
      <alignment wrapText="1"/>
    </dxf>
    <dxf>
      <alignment wrapText="1"/>
    </dxf>
    <dxf>
      <alignment wrapText="1"/>
    </dxf>
    <dxf>
      <alignment horizontal="center" vertical="center" wrapText="1"/>
    </dxf>
    <dxf>
      <alignment wrapText="1"/>
    </dxf>
    <dxf>
      <alignment horizontal="center" vertical="center"/>
    </dxf>
    <dxf>
      <alignment wrapText="1"/>
    </dxf>
    <dxf>
      <alignment wrapText="1"/>
    </dxf>
    <dxf>
      <alignment wrapText="1"/>
    </dxf>
    <dxf>
      <alignment wrapText="1"/>
    </dxf>
    <dxf>
      <alignment wrapText="1"/>
    </dxf>
    <dxf>
      <alignment horizontal="center" vertical="center" wrapText="1"/>
    </dxf>
    <dxf>
      <alignment wrapText="1"/>
    </dxf>
    <dxf>
      <alignment horizontal="center" vertical="center"/>
    </dxf>
    <dxf>
      <alignment wrapText="1"/>
    </dxf>
    <dxf>
      <alignment wrapText="1"/>
    </dxf>
    <dxf>
      <alignment wrapText="1"/>
    </dxf>
    <dxf>
      <alignment wrapText="1"/>
    </dxf>
    <dxf>
      <font>
        <color auto="1"/>
      </font>
      <alignment horizontal="center" vertical="center"/>
    </dxf>
    <dxf>
      <font>
        <color auto="1"/>
      </font>
      <alignment horizontal="center" vertical="center"/>
    </dxf>
    <dxf>
      <font>
        <color auto="1"/>
      </font>
      <alignment horizontal="justify" vertical="center"/>
    </dxf>
    <dxf>
      <font>
        <color auto="1"/>
      </font>
      <alignment horizontal="center" vertical="center"/>
    </dxf>
    <dxf>
      <font>
        <color auto="1"/>
      </font>
      <alignment horizontal="center" vertical="center"/>
    </dxf>
    <dxf>
      <font>
        <color auto="1"/>
      </font>
      <alignment horizontal="center" vertical="center"/>
    </dxf>
    <dxf>
      <font>
        <color auto="1"/>
      </font>
      <alignment horizontal="center" vertical="center"/>
    </dxf>
    <dxf>
      <alignment wrapText="1"/>
    </dxf>
    <dxf>
      <alignment wrapText="1"/>
    </dxf>
    <dxf>
      <alignment wrapText="1"/>
    </dxf>
    <dxf>
      <alignment wrapText="1"/>
    </dxf>
    <dxf>
      <alignment wrapText="1"/>
    </dxf>
    <dxf>
      <alignment wrapText="1"/>
    </dxf>
    <dxf>
      <alignment vertical="center" wrapText="1"/>
    </dxf>
    <dxf>
      <alignment wrapText="1"/>
    </dxf>
    <dxf>
      <alignment horizontal="center" vertical="center"/>
    </dxf>
    <dxf>
      <alignment wrapText="1"/>
    </dxf>
    <dxf>
      <alignment wrapText="1"/>
    </dxf>
    <dxf>
      <numFmt numFmtId="178" formatCode="&quot;R$&quot;\ #,##0.00_);[Red]\(&quot;R$&quot;\ #,##0.00\)"/>
      <alignment horizontal="center" vertical="center"/>
    </dxf>
    <dxf>
      <alignment wrapText="1"/>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ables/table1.xml><?xml version="1.0" encoding="utf-8"?>
<table xmlns="http://schemas.openxmlformats.org/spreadsheetml/2006/main" id="1" name="CITL" displayName="CITL" ref="F15:G20" totalsRowShown="0">
  <autoFilter ref="F15:G20"/>
  <tableColumns count="2">
    <tableColumn id="1" name="Descrição" dataDxfId="0"/>
    <tableColumn id="2" name="Percentual" dataDxfId="1"/>
  </tableColumns>
  <tableStyleInfo showFirstColumn="0" showLastColumn="0" showRowStripes="1" showColumnStripes="0"/>
</table>
</file>

<file path=xl/tables/table10.xml><?xml version="1.0" encoding="utf-8"?>
<table xmlns="http://schemas.openxmlformats.org/spreadsheetml/2006/main" id="16" name="ResumoPosto" displayName="ResumoPosto" ref="A140:D148" totalsRowShown="0">
  <autoFilter ref="A140:D148"/>
  <tableColumns count="4">
    <tableColumn id="1" name="Item" dataDxfId="30"/>
    <tableColumn id="2" name="Mão de obra vinculada à execução contratual" dataDxfId="31"/>
    <tableColumn id="3" name="-" dataDxfId="32"/>
    <tableColumn id="4" name="Valor" dataDxfId="33"/>
  </tableColumns>
  <tableStyleInfo showFirstColumn="0" showLastColumn="0" showRowStripes="1" showColumnStripes="0"/>
</table>
</file>

<file path=xl/tables/table100.xml><?xml version="1.0" encoding="utf-8"?>
<table xmlns="http://schemas.openxmlformats.org/spreadsheetml/2006/main" id="102" name="Módulo358_8326103" displayName="Módulo358_8326103" ref="A75:D82" totalsRowCount="1">
  <autoFilter ref="A75:D81"/>
  <tableColumns count="4">
    <tableColumn id="1" name="3" totalsRowLabel="Total" dataDxfId="390"/>
    <tableColumn id="2" name="Provisão para Rescisão" dataDxfId="391"/>
    <tableColumn id="3" name="Percentual" totalsRowFunction="custom">
      <totalsRowFormula>SUM(C76:C81)</totalsRowFormula>
       dataDxfId="392"
    </tableColumn>
    <tableColumn id="4" name="Valor" totalsRowFunction="custom">
      <totalsRowFormula>TRUNC((SUM(D76:D81)),2)</totalsRowFormula>
       dataDxfId="393"
    </tableColumn>
  </tableColumns>
  <tableStyleInfo showFirstColumn="0" showLastColumn="0" showRowStripes="1" showColumnStripes="0"/>
</table>
</file>

<file path=xl/tables/table101.xml><?xml version="1.0" encoding="utf-8"?>
<table xmlns="http://schemas.openxmlformats.org/spreadsheetml/2006/main" id="64" name="Table43_14365" displayName="Table43_14365" ref="A3:H10">
  <autoFilter ref="A3:H10"/>
  <tableColumns count="8">
    <tableColumn id="1" name="ITEM" totalsRowLabel="Total" dataDxfId="394"/>
    <tableColumn id="2" name="PEÇA" dataDxfId="395"/>
    <tableColumn id="3" name="DESCRIÇÃO" dataDxfId="396"/>
    <tableColumn id="4" name="UNIDADE" dataDxfId="397"/>
    <tableColumn id="5" name="VALOR MÉDIO UNITÁRIO (R$)" dataDxfId="398"/>
    <tableColumn id="6" name="QUANTIDADE ANUAL" dataDxfId="399"/>
    <tableColumn id="7" name="VALOR ANUAL POR EMPREGADO (R$)" dataDxfId="400"/>
    <tableColumn id="8" name="VALOR MENSAL POR EMPREGADO (R$)" totalsRowFunction="sum" dataDxfId="401"/>
  </tableColumns>
  <tableStyleInfo showFirstColumn="0" showLastColumn="0" showRowStripes="1" showColumnStripes="0"/>
</table>
</file>

<file path=xl/tables/table102.xml><?xml version="1.0" encoding="utf-8"?>
<table xmlns="http://schemas.openxmlformats.org/spreadsheetml/2006/main" id="65" name="Table43_1436566" displayName="Table43_1436566" ref="A15:H22">
  <autoFilter ref="A15:H22"/>
  <tableColumns count="8">
    <tableColumn id="1" name="ITEM" totalsRowLabel="Total" dataDxfId="402"/>
    <tableColumn id="2" name="PEÇA" dataDxfId="403"/>
    <tableColumn id="3" name="DESCRIÇÃO" dataDxfId="404"/>
    <tableColumn id="4" name="UNIDADE" dataDxfId="405"/>
    <tableColumn id="5" name="VALOR MÉDIO UNITÁRIO (R$)" dataDxfId="406"/>
    <tableColumn id="6" name="QUANTIDADE ANUAL" dataDxfId="407"/>
    <tableColumn id="7" name="VALOR ANUAL POR EMPREGADO (R$)" dataDxfId="408"/>
    <tableColumn id="8" name="VALOR MENSAL POR EMPREGADO (R$)" totalsRowFunction="sum" dataDxfId="409"/>
  </tableColumns>
  <tableStyleInfo showFirstColumn="0" showLastColumn="0" showRowStripes="1" showColumnStripes="0"/>
</table>
</file>

<file path=xl/tables/table103.xml><?xml version="1.0" encoding="utf-8"?>
<table xmlns="http://schemas.openxmlformats.org/spreadsheetml/2006/main" id="66" name="Table43_143656667" displayName="Table43_143656667" ref="A27:H34">
  <autoFilter ref="A27:H34"/>
  <tableColumns count="8">
    <tableColumn id="1" name="ITEM" totalsRowLabel="Total" dataDxfId="410"/>
    <tableColumn id="2" name="PEÇA" dataDxfId="411"/>
    <tableColumn id="3" name="DESCRIÇÃO" dataDxfId="412"/>
    <tableColumn id="4" name="UNIDADE" dataDxfId="413"/>
    <tableColumn id="5" name="VALOR MÉDIO UNITÁRIO (R$)" dataDxfId="414"/>
    <tableColumn id="6" name="QUANTIDADE ANUAL" dataDxfId="415"/>
    <tableColumn id="7" name="VALOR ANUAL POR EMPREGADO (R$)" dataDxfId="416"/>
    <tableColumn id="8" name="VALOR MENSAL POR EMPREGADO (R$)" totalsRowFunction="sum" dataDxfId="417"/>
  </tableColumns>
  <tableStyleInfo showFirstColumn="0" showLastColumn="0" showRowStripes="1" showColumnStripes="0"/>
</table>
</file>

<file path=xl/tables/table104.xml><?xml version="1.0" encoding="utf-8"?>
<table xmlns="http://schemas.openxmlformats.org/spreadsheetml/2006/main" id="67" name="Table43_14368" displayName="Table43_14368" ref="A39:H46">
  <autoFilter ref="A39:H46"/>
  <tableColumns count="8">
    <tableColumn id="1" name="ITEM" totalsRowLabel="Total" dataDxfId="418"/>
    <tableColumn id="2" name="PEÇA" dataDxfId="419"/>
    <tableColumn id="3" name="DESCRIÇÃO" dataDxfId="420"/>
    <tableColumn id="4" name="UNIDADE" dataDxfId="421"/>
    <tableColumn id="5" name="VALOR MÉDIO UNITÁRIO (R$)" dataDxfId="422"/>
    <tableColumn id="6" name="QUANTIDADE ANUAL" dataDxfId="423"/>
    <tableColumn id="7" name="VALOR ANUAL POR EMPREGADO (R$)" dataDxfId="424"/>
    <tableColumn id="8" name="VALOR MENSAL POR EMPREGADO (R$)" totalsRowFunction="sum" dataDxfId="425"/>
  </tableColumns>
  <tableStyleInfo showFirstColumn="0" showLastColumn="0" showRowStripes="1" showColumnStripes="0"/>
</table>
</file>

<file path=xl/tables/table105.xml><?xml version="1.0" encoding="utf-8"?>
<table xmlns="http://schemas.openxmlformats.org/spreadsheetml/2006/main" id="5" name="Table43_2" displayName="Table43_2" ref="A132:G136" totalsRowCount="1">
  <autoFilter ref="A132:G135"/>
  <tableColumns count="7">
    <tableColumn id="1" name="Item" totalsRowLabel="Total" dataDxfId="426"/>
    <tableColumn id="2" name="Peça" dataDxfId="427"/>
    <tableColumn id="3" name="Descrição" dataDxfId="428"/>
    <tableColumn id="4" name="Valor Médio Unitário (R$)" dataDxfId="429"/>
    <tableColumn id="5" name="Quantidade Anual" dataDxfId="430"/>
    <tableColumn id="6" name="Valor Anual/ Empregado (R$)" dataDxfId="431"/>
    <tableColumn id="7" name="Valor Mensal/ Empregado" totalsRowFunction="sum" dataDxfId="432"/>
  </tableColumns>
  <tableStyleInfo name="TableStyleMedium14" showFirstColumn="0" showLastColumn="0" showRowStripes="1" showColumnStripes="0"/>
</table>
</file>

<file path=xl/tables/table106.xml><?xml version="1.0" encoding="utf-8"?>
<table xmlns="http://schemas.openxmlformats.org/spreadsheetml/2006/main" id="69" name="Table44" displayName="Table44" ref="A90:F111" totalsRowCount="1">
  <autoFilter ref="A90:F110"/>
  <tableColumns count="6">
    <tableColumn id="1" name="ITEM" totalsRowLabel="Total" dataDxfId="433"/>
    <tableColumn id="2" name="DESCRIÇÃO" dataDxfId="434"/>
    <tableColumn id="3" name="UNIDADE" dataDxfId="435"/>
    <tableColumn id="4" name="QUANTIDADE" dataDxfId="436"/>
    <tableColumn id="5" name="VALOR UNITÁRIO" dataDxfId="437"/>
    <tableColumn id="6" name="VALOR TOTAL" totalsRowFunction="sum" dataDxfId="438"/>
  </tableColumns>
  <tableStyleInfo name="TableStyleMedium14" showFirstColumn="0" showLastColumn="0" showRowStripes="1" showColumnStripes="0"/>
</table>
</file>

<file path=xl/tables/table107.xml><?xml version="1.0" encoding="utf-8"?>
<table xmlns="http://schemas.openxmlformats.org/spreadsheetml/2006/main" id="7" name="Table39" displayName="Table39" ref="A2:G10" totalsRowCount="1">
  <tableColumns count="7">
    <tableColumn id="1" name="Item" totalsRowLabel="TOTAL" dataDxfId="439"/>
    <tableColumn id="2" name="Descrição" dataDxfId="440"/>
    <tableColumn id="7" name="Unidade" dataDxfId="441"/>
    <tableColumn id="3" name="Quantidade" dataDxfId="442"/>
    <tableColumn id="6" name="VIGÊNCIA " dataDxfId="443"/>
    <tableColumn id="4" name="VALOR UNITÁRIO MÁXIMO ACEITÁVEL" dataDxfId="444"/>
    <tableColumn id="5" name="VALOR TOTAL MÁXIMO ACEITÁVEL" totalsRowFunction="custom">
      <totalsRowFormula>SUM(G3:G9)</totalsRowFormula>
       dataDxfId="445"
    </tableColumn>
  </tableColumns>
  <tableStyleInfo name="TableStyleMedium14" showFirstColumn="0" showLastColumn="0" showRowStripes="1" showColumnStripes="0"/>
</table>
</file>

<file path=xl/tables/table11.xml><?xml version="1.0" encoding="utf-8"?>
<table xmlns="http://schemas.openxmlformats.org/spreadsheetml/2006/main" id="18" name="Submódulo2.1" displayName="Submódulo2.1" ref="A21:D24" totalsRowCount="1">
  <autoFilter ref="A21:D23"/>
  <tableColumns count="4">
    <tableColumn id="1" name="2.1" dataDxfId="34"/>
    <tableColumn id="2" name="13º (décimo terceiro) Salário, Férias e Adicional de Férias" dataDxfId="35"/>
    <tableColumn id="3" name="Comentário" dataDxfId="36"/>
    <tableColumn id="4" name="Valor" dataDxfId="37"/>
  </tableColumns>
  <tableStyleInfo showFirstColumn="0" showLastColumn="0" showRowStripes="1" showColumnStripes="0"/>
</table>
</file>

<file path=xl/tables/table12.xml><?xml version="1.0" encoding="utf-8"?>
<table xmlns="http://schemas.openxmlformats.org/spreadsheetml/2006/main" id="20" name="Submódulo2.2" displayName="Submódulo2.2" ref="A32:D41" totalsRowCount="1">
  <autoFilter ref="A32:D40"/>
  <tableColumns count="4">
    <tableColumn id="1" name="2.2" dataDxfId="38"/>
    <tableColumn id="2" name="GPS, FGTS e outras contribuições" dataDxfId="39"/>
    <tableColumn id="3" name="Percentual" dataDxfId="40"/>
    <tableColumn id="4" name="Valor " dataDxfId="41"/>
  </tableColumns>
  <tableStyleInfo showFirstColumn="0" showLastColumn="0" showRowStripes="1" showColumnStripes="0"/>
</table>
</file>

<file path=xl/tables/table13.xml><?xml version="1.0" encoding="utf-8"?>
<table xmlns="http://schemas.openxmlformats.org/spreadsheetml/2006/main" id="22" name="Submódulo2.3" displayName="Submódulo2.3" ref="A48:D53" totalsRowCount="1">
  <autoFilter ref="A48:D52"/>
  <tableColumns count="4">
    <tableColumn id="1" name="2.3" dataDxfId="42"/>
    <tableColumn id="2" name="Benefícios Mensais e Diários" dataDxfId="43"/>
    <tableColumn id="3" name="Comentário" dataDxfId="44"/>
    <tableColumn id="4" name="Valor" dataDxfId="45"/>
  </tableColumns>
  <tableStyleInfo showFirstColumn="0" showLastColumn="0" showRowStripes="1" showColumnStripes="0"/>
</table>
</file>

<file path=xl/tables/table14.xml><?xml version="1.0" encoding="utf-8"?>
<table xmlns="http://schemas.openxmlformats.org/spreadsheetml/2006/main" id="24" name="Submódulo4.1" displayName="Submódulo4.1" ref="A88:D95" totalsRowCount="1">
  <autoFilter ref="A88:D94"/>
  <tableColumns count="4">
    <tableColumn id="1" name="4.1" dataDxfId="46"/>
    <tableColumn id="2" name="Substituto nas Ausências Legais" dataDxfId="47"/>
    <tableColumn id="3" name="Dias de ausência" dataDxfId="48"/>
    <tableColumn id="4" name="Valor" dataDxfId="49"/>
  </tableColumns>
  <tableStyleInfo showFirstColumn="0" showLastColumn="0" showRowStripes="1" showColumnStripes="0"/>
</table>
</file>

<file path=xl/tables/table15.xml><?xml version="1.0" encoding="utf-8"?>
<table xmlns="http://schemas.openxmlformats.org/spreadsheetml/2006/main" id="26" name="Submódulo4.2" displayName="Submódulo4.2" ref="A103:D105" totalsRowCount="1">
  <autoFilter ref="A103:D104"/>
  <tableColumns count="4">
    <tableColumn id="1" name="4.2" dataDxfId="50"/>
    <tableColumn id="2" name="Substituto na Intrajornada " dataDxfId="51"/>
    <tableColumn id="3" name="Comentário" dataDxfId="52"/>
    <tableColumn id="4" name="Valor" dataDxfId="53"/>
  </tableColumns>
  <tableStyleInfo showFirstColumn="0" showLastColumn="0" showRowStripes="1" showColumnStripes="0"/>
</table>
</file>

<file path=xl/tables/table16.xml><?xml version="1.0" encoding="utf-8"?>
<table xmlns="http://schemas.openxmlformats.org/spreadsheetml/2006/main" id="28" name="Table4" displayName="Table4" ref="A2:D7" totalsRowShown="0">
  <tableColumns count="4">
    <tableColumn id="1" name="Item" dataDxfId="54"/>
    <tableColumn id="2" name="Descrição" dataDxfId="55"/>
    <tableColumn id="3" name="Comentário" dataDxfId="56"/>
    <tableColumn id="4" name="Valor" dataDxfId="57"/>
  </tableColumns>
  <tableStyleInfo showFirstColumn="0" showLastColumn="0" showRowStripes="1" showColumnStripes="0"/>
</table>
</file>

<file path=xl/tables/table17.xml><?xml version="1.0" encoding="utf-8"?>
<table xmlns="http://schemas.openxmlformats.org/spreadsheetml/2006/main" id="32" name="Table8" displayName="Table8" ref="A27:D29" totalsRowShown="0">
  <autoFilter ref="A27:D29"/>
  <tableColumns count="4">
    <tableColumn id="1" name="Item" dataDxfId="58"/>
    <tableColumn id="2" name="Rubrica" dataDxfId="59"/>
    <tableColumn id="3" name="Base de Cálculo" dataDxfId="60"/>
    <tableColumn id="4" name="Memória de Cálculo" dataDxfId="61"/>
  </tableColumns>
  <tableStyleInfo showFirstColumn="0" showLastColumn="0" showRowStripes="1" showColumnStripes="0"/>
</table>
</file>

<file path=xl/tables/table18.xml><?xml version="1.0" encoding="utf-8"?>
<table xmlns="http://schemas.openxmlformats.org/spreadsheetml/2006/main" id="33" name="Table839" displayName="Table839" ref="A44:D45" totalsRowShown="0">
  <autoFilter ref="A44:D45"/>
  <tableColumns count="4">
    <tableColumn id="1" name="Item" dataDxfId="62"/>
    <tableColumn id="2" name="Rubrica" dataDxfId="63"/>
    <tableColumn id="3" name="Base de Cálculo" dataDxfId="64"/>
    <tableColumn id="4" name="Memória de Cálculo" dataDxfId="65"/>
  </tableColumns>
  <tableStyleInfo showFirstColumn="0" showLastColumn="0" showRowStripes="1" showColumnStripes="0"/>
</table>
</file>

<file path=xl/tables/table19.xml><?xml version="1.0" encoding="utf-8"?>
<table xmlns="http://schemas.openxmlformats.org/spreadsheetml/2006/main" id="34" name="Table842" displayName="Table842" ref="A56:D58" totalsRowShown="0">
  <autoFilter ref="A56:D58"/>
  <tableColumns count="4">
    <tableColumn id="1" name="Item" dataDxfId="66"/>
    <tableColumn id="2" name="Rubrica" dataDxfId="67"/>
    <tableColumn id="3" name="Base de Cálculo" dataDxfId="68"/>
    <tableColumn id="4" name="Memória de Cálculo" dataDxfId="69"/>
  </tableColumns>
  <tableStyleInfo showFirstColumn="0" showLastColumn="0" showRowStripes="1" showColumnStripes="0"/>
</table>
</file>

<file path=xl/tables/table2.xml><?xml version="1.0" encoding="utf-8"?>
<table xmlns="http://schemas.openxmlformats.org/spreadsheetml/2006/main" id="2" name="DadosDesligamento" displayName="DadosDesligamento" ref="F9:G12" totalsRowShown="0">
  <autoFilter ref="F9:G12"/>
  <tableColumns count="2">
    <tableColumn id="1" name="Tipos" dataDxfId="2"/>
    <tableColumn id="2" name="Percentual" dataDxfId="3"/>
  </tableColumns>
  <tableStyleInfo showFirstColumn="0" showLastColumn="0" showRowStripes="1" showColumnStripes="0"/>
</table>
</file>

<file path=xl/tables/table20.xml><?xml version="1.0" encoding="utf-8"?>
<table xmlns="http://schemas.openxmlformats.org/spreadsheetml/2006/main" id="35" name="Table84237" displayName="Table84237" ref="A78:D84" totalsRowShown="0">
  <autoFilter ref="A78:D84"/>
  <tableColumns count="4">
    <tableColumn id="1" name="Item" dataDxfId="70"/>
    <tableColumn id="2" name="Rubrica" dataDxfId="71"/>
    <tableColumn id="3" name="Base de Cálculo" dataDxfId="72"/>
    <tableColumn id="4" name="Memória de Cálculo" dataDxfId="73"/>
  </tableColumns>
  <tableStyleInfo showFirstColumn="0" showLastColumn="0" showRowStripes="1" showColumnStripes="0"/>
</table>
</file>

<file path=xl/tables/table21.xml><?xml version="1.0" encoding="utf-8"?>
<table xmlns="http://schemas.openxmlformats.org/spreadsheetml/2006/main" id="36" name="Table84238" displayName="Table84238" ref="A98:D100" totalsRowShown="0">
  <autoFilter ref="A98:D100"/>
  <tableColumns count="4">
    <tableColumn id="1" name="Item" dataDxfId="74"/>
    <tableColumn id="2" name="Rubrica" dataDxfId="75"/>
    <tableColumn id="3" name="Base de Cálculo" dataDxfId="76"/>
    <tableColumn id="4" name="Memória de Cálculo" dataDxfId="77"/>
  </tableColumns>
  <tableStyleInfo showFirstColumn="0" showLastColumn="0" showRowStripes="1" showColumnStripes="0"/>
</table>
</file>

<file path=xl/tables/table22.xml><?xml version="1.0" encoding="utf-8"?>
<table xmlns="http://schemas.openxmlformats.org/spreadsheetml/2006/main" id="37" name="Table8423851" displayName="Table8423851" ref="A122:D126" totalsRowShown="0">
  <autoFilter ref="A122:D126"/>
  <tableColumns count="4">
    <tableColumn id="1" name="Item" dataDxfId="78"/>
    <tableColumn id="2" name="Rubrica" dataDxfId="79"/>
    <tableColumn id="3" name="Base de Cálculo" dataDxfId="80"/>
    <tableColumn id="4" name="Memória de Cálculo" dataDxfId="81"/>
  </tableColumns>
  <tableStyleInfo showFirstColumn="0" showLastColumn="0" showRowStripes="1" showColumnStripes="0"/>
</table>
</file>

<file path=xl/tables/table23.xml><?xml version="1.0" encoding="utf-8"?>
<table xmlns="http://schemas.openxmlformats.org/spreadsheetml/2006/main" id="103" name="Módulo358_57104" displayName="Módulo358_57104" ref="A75:D82" totalsRowCount="1">
  <autoFilter ref="A75:D81"/>
  <tableColumns count="4">
    <tableColumn id="1" name="3" totalsRowLabel="Total" dataDxfId="82"/>
    <tableColumn id="2" name="Provisão para Rescisão" dataDxfId="83"/>
    <tableColumn id="3" name="Percentual" totalsRowFunction="custom">
      <totalsRowFormula>SUM(C76:C81)</totalsRowFormula>
       dataDxfId="84"
    </tableColumn>
    <tableColumn id="4" name="Valor" totalsRowFunction="custom">
      <totalsRowFormula>TRUNC((SUM(D76:D81)),2)</totalsRowFormula>
       dataDxfId="85"
    </tableColumn>
  </tableColumns>
  <tableStyleInfo showFirstColumn="0" showLastColumn="0" showRowStripes="1" showColumnStripes="0"/>
</table>
</file>

<file path=xl/tables/table24.xml><?xml version="1.0" encoding="utf-8"?>
<table xmlns="http://schemas.openxmlformats.org/spreadsheetml/2006/main" id="104" name="Módulo663_59105" displayName="Módulo663_59105" ref="A128:D135" totalsRowCount="1">
  <tableColumns count="4">
    <tableColumn id="1" name="6" totalsRowLabel="Total" dataDxfId="86"/>
    <tableColumn id="2" name="Custos Indiretos, Tributos e Lucro" dataDxfId="87"/>
    <tableColumn id="3" name="Percentual" dataDxfId="88"/>
    <tableColumn id="4" name="Valor" totalsRowFunction="custom">
      <totalsRowFormula>SUM(D129:D131)</totalsRowFormula>
       dataDxfId="89"
    </tableColumn>
  </tableColumns>
  <tableStyleInfo showFirstColumn="0" showLastColumn="0" showRowStripes="1" showColumnStripes="0"/>
</table>
</file>

<file path=xl/tables/table25.xml><?xml version="1.0" encoding="utf-8"?>
<table xmlns="http://schemas.openxmlformats.org/spreadsheetml/2006/main" id="105" name="Table452_56106" displayName="Table452_56106" ref="A16:D21" totalsRowShown="0">
  <tableColumns count="4">
    <tableColumn id="1" name="Item" dataDxfId="90"/>
    <tableColumn id="2" name="Descrição" dataDxfId="91"/>
    <tableColumn id="3" name="Comentário" dataDxfId="92"/>
    <tableColumn id="4" name="Valor" dataDxfId="93"/>
  </tableColumns>
  <tableStyleInfo showFirstColumn="0" showLastColumn="0" showRowStripes="1" showColumnStripes="0"/>
</table>
</file>

<file path=xl/tables/table26.xml><?xml version="1.0" encoding="utf-8"?>
<table xmlns="http://schemas.openxmlformats.org/spreadsheetml/2006/main" id="106" name="Submódulo4.260_55107" displayName="Submódulo4.260_55107" ref="A101:D103" totalsRowCount="1">
  <autoFilter ref="A101:D102"/>
  <tableColumns count="4">
    <tableColumn id="1" name="4.2" totalsRowLabel="Total" dataDxfId="94"/>
    <tableColumn id="2" name="Substituto na Intrajornada " dataDxfId="95"/>
    <tableColumn id="3" name="Comentário" dataDxfId="96"/>
    <tableColumn id="4" name="Valor" totalsRowFunction="custom">
      <totalsRowFormula>D102</totalsRowFormula>
       dataDxfId="97"
    </tableColumn>
  </tableColumns>
  <tableStyleInfo showFirstColumn="0" showLastColumn="0" showRowStripes="1" showColumnStripes="0"/>
</table>
</file>

<file path=xl/tables/table27.xml><?xml version="1.0" encoding="utf-8"?>
<table xmlns="http://schemas.openxmlformats.org/spreadsheetml/2006/main" id="107" name="ResumoPosto64_64108" displayName="ResumoPosto64_64108" ref="A139:D147" totalsRowShown="0">
  <autoFilter ref="A139:D147"/>
  <tableColumns count="4">
    <tableColumn id="1" name="Item" dataDxfId="98"/>
    <tableColumn id="2" name="Mão de obra vinculada à execução contratual" dataDxfId="99"/>
    <tableColumn id="3" name="-" dataDxfId="100"/>
    <tableColumn id="4" name="Valor" dataDxfId="101"/>
  </tableColumns>
  <tableStyleInfo showFirstColumn="0" showLastColumn="0" showRowStripes="1" showColumnStripes="0"/>
</table>
</file>

<file path=xl/tables/table28.xml><?xml version="1.0" encoding="utf-8"?>
<table xmlns="http://schemas.openxmlformats.org/spreadsheetml/2006/main" id="108" name="Módulo153_52109" displayName="Módulo153_52109" ref="A24:D31" totalsRowCount="1">
  <autoFilter ref="A24:D30"/>
  <tableColumns count="4">
    <tableColumn id="1" name="1" totalsRowLabel="Total" dataDxfId="102"/>
    <tableColumn id="2" name="Composição da Remuneração" dataDxfId="103"/>
    <tableColumn id="3" name="Comentário" dataDxfId="104"/>
    <tableColumn id="4" name="Valor" totalsRowFunction="custom">
      <totalsRowFormula>TRUNC((SUM(D25:D30)),2)</totalsRowFormula>
       dataDxfId="105"
    </tableColumn>
  </tableColumns>
  <tableStyleInfo showFirstColumn="0" showLastColumn="0" showRowStripes="1" showColumnStripes="0"/>
</table>
</file>

<file path=xl/tables/table29.xml><?xml version="1.0" encoding="utf-8"?>
<table xmlns="http://schemas.openxmlformats.org/spreadsheetml/2006/main" id="109" name="Submódulo4.159_54110" displayName="Submódulo4.159_54110" ref="A91:D98" totalsRowCount="1">
  <autoFilter ref="A91:D97"/>
  <tableColumns count="4">
    <tableColumn id="1" name="4.1" totalsRowLabel="Total" dataDxfId="106"/>
    <tableColumn id="2" name="Substituto nas Ausências Legais" dataDxfId="107"/>
    <tableColumn id="3" name="Percentual" totalsRowFunction="custom">
      <totalsRowFormula>SUM(C92:C97)</totalsRowFormula>
       dataDxfId="108"
    </tableColumn>
    <tableColumn id="4" name="Valor" totalsRowFunction="custom">
      <totalsRowFormula>TRUNC((SUM(D92:D97)),2)</totalsRowFormula>
       dataDxfId="109"
    </tableColumn>
  </tableColumns>
  <tableStyleInfo showFirstColumn="0" showLastColumn="0" showRowStripes="1" showColumnStripes="0"/>
</table>
</file>

<file path=xl/tables/table3.xml><?xml version="1.0" encoding="utf-8"?>
<table xmlns="http://schemas.openxmlformats.org/spreadsheetml/2006/main" id="3" name="DadosGerais" displayName="DadosGerais" ref="F2:G6" totalsRowShown="0">
  <autoFilter ref="F2:G6"/>
  <tableColumns count="2">
    <tableColumn id="1" name="Descrição" dataDxfId="4"/>
    <tableColumn id="2" name="Valor" dataDxfId="5"/>
  </tableColumns>
  <tableStyleInfo showFirstColumn="0" showLastColumn="0" showRowStripes="1" showColumnStripes="0"/>
</table>
</file>

<file path=xl/tables/table30.xml><?xml version="1.0" encoding="utf-8"?>
<table xmlns="http://schemas.openxmlformats.org/spreadsheetml/2006/main" id="110" name="Submódulo2.154_61111" displayName="Submódulo2.154_61111" ref="A36:D39" totalsRowCount="1">
  <autoFilter ref="A36:D38"/>
  <tableColumns count="4">
    <tableColumn id="1" name="2.1" totalsRowLabel="Total" dataDxfId="110"/>
    <tableColumn id="2" name="13º (décimo terceiro) Salário, Férias e Adicional de Férias" dataDxfId="111"/>
    <tableColumn id="3" name="Percentual" dataDxfId="112"/>
    <tableColumn id="4" name="Valor" totalsRowFunction="custom">
      <totalsRowFormula>TRUNC((SUM(D37:D38)),2)</totalsRowFormula>
       dataDxfId="113"
    </tableColumn>
  </tableColumns>
  <tableStyleInfo showFirstColumn="0" showLastColumn="0" showRowStripes="1" showColumnStripes="0"/>
</table>
</file>

<file path=xl/tables/table31.xml><?xml version="1.0" encoding="utf-8"?>
<table xmlns="http://schemas.openxmlformats.org/spreadsheetml/2006/main" id="111" name="Submódulo2.356_53112" displayName="Submódulo2.356_53112" ref="A58:D65" totalsRowCount="1">
  <autoFilter ref="A58:D64"/>
  <tableColumns count="4">
    <tableColumn id="1" name="2.3" totalsRowLabel="Total" dataDxfId="114"/>
    <tableColumn id="2" name="Benefícios Mensais e Diários" dataDxfId="115"/>
    <tableColumn id="3" name="Comentário" dataDxfId="116"/>
    <tableColumn id="4" name="Valor" totalsRowFunction="custom">
      <totalsRowFormula>TRUNC((SUM(D59:D64)),2)</totalsRowFormula>
       dataDxfId="117"
    </tableColumn>
  </tableColumns>
  <tableStyleInfo showFirstColumn="0" showLastColumn="0" showRowStripes="1" showColumnStripes="0"/>
</table>
</file>

<file path=xl/tables/table32.xml><?xml version="1.0" encoding="utf-8"?>
<table xmlns="http://schemas.openxmlformats.org/spreadsheetml/2006/main" id="112" name="ResumoMódulo257_60113" displayName="ResumoMódulo257_60113" ref="A68:D72" totalsRowCount="1">
  <autoFilter ref="A68:D71"/>
  <tableColumns count="4">
    <tableColumn id="1" name="2" totalsRowLabel="Total" dataDxfId="118"/>
    <tableColumn id="2" name="Encargos e Benefícios Anuais, Mensais e Diários" dataDxfId="119"/>
    <tableColumn id="3" name="Comentário" dataDxfId="120"/>
    <tableColumn id="4" name="Valor" totalsRowFunction="custom">
      <totalsRowFormula>TRUNC((SUM(D69:D71)),2)</totalsRowFormula>
       dataDxfId="121"
    </tableColumn>
  </tableColumns>
  <tableStyleInfo showFirstColumn="0" showLastColumn="0" showRowStripes="1" showColumnStripes="0"/>
</table>
</file>

<file path=xl/tables/table33.xml><?xml version="1.0" encoding="utf-8"?>
<table xmlns="http://schemas.openxmlformats.org/spreadsheetml/2006/main" id="113" name="Submódulo2.255_63114" displayName="Submódulo2.255_63114" ref="A46:D55" totalsRowCount="1">
  <autoFilter ref="A46:D54"/>
  <tableColumns count="4">
    <tableColumn id="1" name="2.2" totalsRowLabel="Total" dataDxfId="122"/>
    <tableColumn id="2" name="GPS, FGTS e outras contribuições" dataDxfId="123"/>
    <tableColumn id="3" name="Percentual" totalsRowFunction="custom">
      <totalsRowFormula>SUM(C47:C54)</totalsRowFormula>
       dataDxfId="124"
    </tableColumn>
    <tableColumn id="4" name="Valor " totalsRowFunction="custom">
      <totalsRowFormula>TRUNC(SUM(D47:D54),2)</totalsRowFormula>
       dataDxfId="125"
    </tableColumn>
  </tableColumns>
  <tableStyleInfo showFirstColumn="0" showLastColumn="0" showRowStripes="1" showColumnStripes="0"/>
</table>
</file>

<file path=xl/tables/table34.xml><?xml version="1.0" encoding="utf-8"?>
<table xmlns="http://schemas.openxmlformats.org/spreadsheetml/2006/main" id="114" name="ResumoMódulo461_62115" displayName="ResumoMódulo461_62115" ref="A106:D109" totalsRowCount="1">
  <autoFilter ref="A106:D108"/>
  <tableColumns count="4">
    <tableColumn id="1" name="4" totalsRowLabel="Total" dataDxfId="126"/>
    <tableColumn id="2" name="Custo de Reposição do Profissional Ausente" dataDxfId="127"/>
    <tableColumn id="3" name="Comentário" totalsRowLabel="*Nota: Se o titular USUFRUIR do descanso intrajornada, o total é o somatório dos subitens 4.1 e 4.2" dataDxfId="128"/>
    <tableColumn id="4" name="Valor" totalsRowFunction="custom">
      <totalsRowFormula>TRUNC((SUM(D107:D108)),2)</totalsRowFormula>
       dataDxfId="129"
    </tableColumn>
  </tableColumns>
  <tableStyleInfo showFirstColumn="0" showLastColumn="0" showRowStripes="1" showColumnStripes="0"/>
</table>
</file>

<file path=xl/tables/table35.xml><?xml version="1.0" encoding="utf-8"?>
<table xmlns="http://schemas.openxmlformats.org/spreadsheetml/2006/main" id="115" name="Módulo562_58116" displayName="Módulo562_58116" ref="A112:D118" totalsRowCount="1">
  <autoFilter ref="A112:D117"/>
  <tableColumns count="4">
    <tableColumn id="1" name="5" totalsRowLabel="Total" dataDxfId="130"/>
    <tableColumn id="2" name="Insumos Diversos" dataDxfId="131"/>
    <tableColumn id="3" name="Comentário" dataDxfId="132"/>
    <tableColumn id="4" name="Valor" totalsRowFunction="custom">
      <totalsRowFormula>TRUNC((SUM(D113:D117)),2)</totalsRowFormula>
       dataDxfId="133"
    </tableColumn>
  </tableColumns>
  <tableStyleInfo showFirstColumn="0" showLastColumn="0" showRowStripes="1" showColumnStripes="0"/>
</table>
</file>

<file path=xl/tables/table36.xml><?xml version="1.0" encoding="utf-8"?>
<table xmlns="http://schemas.openxmlformats.org/spreadsheetml/2006/main" id="38" name="Módulo153_39" displayName="Módulo153_39" ref="A24:D31" totalsRowCount="1">
  <autoFilter ref="A24:D30"/>
  <tableColumns count="4">
    <tableColumn id="1" name="1" totalsRowLabel="Total" dataDxfId="134"/>
    <tableColumn id="2" name="Composição da Remuneração" dataDxfId="135"/>
    <tableColumn id="3" name="Comentário" dataDxfId="136"/>
    <tableColumn id="4" name="Valor" totalsRowFunction="custom">
      <totalsRowFormula>TRUNC(SUM(D25:D30),2)</totalsRowFormula>
       dataDxfId="137"
    </tableColumn>
  </tableColumns>
  <tableStyleInfo showFirstColumn="0" showLastColumn="0" showRowStripes="1" showColumnStripes="0"/>
</table>
</file>

<file path=xl/tables/table37.xml><?xml version="1.0" encoding="utf-8"?>
<table xmlns="http://schemas.openxmlformats.org/spreadsheetml/2006/main" id="39" name="Submódulo2.356_40" displayName="Submódulo2.356_40" ref="A58:D65" totalsRowCount="1">
  <autoFilter ref="A58:D64"/>
  <tableColumns count="4">
    <tableColumn id="1" name="2.3" totalsRowLabel="Total" dataDxfId="138"/>
    <tableColumn id="2" name="Benefícios Mensais e Diários" dataDxfId="139"/>
    <tableColumn id="3" name="Comentário" dataDxfId="140"/>
    <tableColumn id="4" name="Valor" totalsRowFunction="custom">
      <totalsRowFormula>TRUNC((SUM(D59:D64)),2)</totalsRowFormula>
       dataDxfId="141"
    </tableColumn>
  </tableColumns>
  <tableStyleInfo showFirstColumn="0" showLastColumn="0" showRowStripes="1" showColumnStripes="0"/>
</table>
</file>

<file path=xl/tables/table38.xml><?xml version="1.0" encoding="utf-8"?>
<table xmlns="http://schemas.openxmlformats.org/spreadsheetml/2006/main" id="40" name="Submódulo4.159_41" displayName="Submódulo4.159_41" ref="A91:D98" totalsRowCount="1">
  <autoFilter ref="A91:D97"/>
  <tableColumns count="4">
    <tableColumn id="1" name="4.1" totalsRowLabel="Total" dataDxfId="142"/>
    <tableColumn id="2" name="Substituto nas Ausências Legais" dataDxfId="143"/>
    <tableColumn id="3" name="Percentual" totalsRowFunction="custom">
      <totalsRowFormula>SUM(C92:C97)</totalsRowFormula>
       dataDxfId="144"
    </tableColumn>
    <tableColumn id="4" name="Valor" totalsRowFunction="custom">
      <totalsRowFormula>TRUNC((SUM(D92:D97)),2)</totalsRowFormula>
       dataDxfId="145"
    </tableColumn>
  </tableColumns>
  <tableStyleInfo showFirstColumn="0" showLastColumn="0" showRowStripes="1" showColumnStripes="0"/>
</table>
</file>

<file path=xl/tables/table39.xml><?xml version="1.0" encoding="utf-8"?>
<table xmlns="http://schemas.openxmlformats.org/spreadsheetml/2006/main" id="41" name="Submódulo4.260_42" displayName="Submódulo4.260_42" ref="A101:D103" totalsRowCount="1">
  <autoFilter ref="A101:D102"/>
  <tableColumns count="4">
    <tableColumn id="1" name="4.2" totalsRowLabel="Total" dataDxfId="146"/>
    <tableColumn id="2" name="Substituto na Intrajornada " dataDxfId="147"/>
    <tableColumn id="3" name="Comentário" dataDxfId="148"/>
    <tableColumn id="4" name="Valor" totalsRowFunction="custom">
      <totalsRowFormula>D102</totalsRowFormula>
       dataDxfId="149"
    </tableColumn>
  </tableColumns>
  <tableStyleInfo showFirstColumn="0" showLastColumn="0" showRowStripes="1" showColumnStripes="0"/>
</table>
</file>

<file path=xl/tables/table4.xml><?xml version="1.0" encoding="utf-8"?>
<table xmlns="http://schemas.openxmlformats.org/spreadsheetml/2006/main" id="4" name="Módulo1" displayName="Módulo1" ref="A10:D17" totalsRowCount="1">
  <autoFilter ref="A10:D16"/>
  <tableColumns count="4">
    <tableColumn id="1" name="1" dataDxfId="6"/>
    <tableColumn id="2" name="Composição da Remuneração" dataDxfId="7"/>
    <tableColumn id="3" name="Comentário" dataDxfId="8"/>
    <tableColumn id="4" name="Valor" dataDxfId="9"/>
  </tableColumns>
  <tableStyleInfo showFirstColumn="0" showLastColumn="0" showRowStripes="1" showColumnStripes="0"/>
</table>
</file>

<file path=xl/tables/table40.xml><?xml version="1.0" encoding="utf-8"?>
<table xmlns="http://schemas.openxmlformats.org/spreadsheetml/2006/main" id="42" name="Table452_43" displayName="Table452_43" ref="A16:D21" totalsRowShown="0">
  <tableColumns count="4">
    <tableColumn id="1" name="Item" dataDxfId="150"/>
    <tableColumn id="2" name="Descrição" dataDxfId="151"/>
    <tableColumn id="3" name="Comentário" dataDxfId="152"/>
    <tableColumn id="4" name="Valor" dataDxfId="153"/>
  </tableColumns>
  <tableStyleInfo showFirstColumn="0" showLastColumn="0" showRowStripes="1" showColumnStripes="0"/>
</table>
</file>

<file path=xl/tables/table41.xml><?xml version="1.0" encoding="utf-8"?>
<table xmlns="http://schemas.openxmlformats.org/spreadsheetml/2006/main" id="43" name="Módulo358_44" displayName="Módulo358_44" ref="A75:D82" totalsRowCount="1">
  <autoFilter ref="A75:D81"/>
  <tableColumns count="4">
    <tableColumn id="1" name="3" totalsRowLabel="Total" dataDxfId="154"/>
    <tableColumn id="2" name="Provisão para Rescisão" dataDxfId="155"/>
    <tableColumn id="3" name="Percentual" totalsRowFunction="custom">
      <totalsRowFormula>SUM(C76:C81)</totalsRowFormula>
       dataDxfId="156"
    </tableColumn>
    <tableColumn id="4" name="Valor" totalsRowFunction="custom">
      <totalsRowFormula>TRUNC((SUM(D76:D81)),2)</totalsRowFormula>
       dataDxfId="157"
    </tableColumn>
  </tableColumns>
  <tableStyleInfo showFirstColumn="0" showLastColumn="0" showRowStripes="1" showColumnStripes="0"/>
</table>
</file>

<file path=xl/tables/table42.xml><?xml version="1.0" encoding="utf-8"?>
<table xmlns="http://schemas.openxmlformats.org/spreadsheetml/2006/main" id="44" name="Módulo562_45" displayName="Módulo562_45" ref="A112:D118" totalsRowCount="1">
  <autoFilter ref="A112:D117"/>
  <tableColumns count="4">
    <tableColumn id="1" name="5" totalsRowLabel="Total" dataDxfId="158"/>
    <tableColumn id="2" name="Insumos Diversos" dataDxfId="159"/>
    <tableColumn id="3" name="Comentário" dataDxfId="160"/>
    <tableColumn id="4" name="Valor" totalsRowFunction="custom">
      <totalsRowFormula>TRUNC((SUM(D113:D117)),2)</totalsRowFormula>
       dataDxfId="161"
    </tableColumn>
  </tableColumns>
  <tableStyleInfo showFirstColumn="0" showLastColumn="0" showRowStripes="1" showColumnStripes="0"/>
</table>
</file>

<file path=xl/tables/table43.xml><?xml version="1.0" encoding="utf-8"?>
<table xmlns="http://schemas.openxmlformats.org/spreadsheetml/2006/main" id="45" name="Módulo663_46" displayName="Módulo663_46" ref="A128:D135" totalsRowCount="1">
  <tableColumns count="4">
    <tableColumn id="1" name="6" totalsRowLabel="Total" dataDxfId="162"/>
    <tableColumn id="2" name="Custos Indiretos, Tributos e Lucro" dataDxfId="163"/>
    <tableColumn id="3" name="Percentual" dataDxfId="164"/>
    <tableColumn id="4" name="Valor" totalsRowFunction="custom">
      <totalsRowFormula>TRUNC(SUM(D129:D131),2)</totalsRowFormula>
       dataDxfId="165"
    </tableColumn>
  </tableColumns>
  <tableStyleInfo showFirstColumn="0" showLastColumn="0" showRowStripes="1" showColumnStripes="0"/>
</table>
</file>

<file path=xl/tables/table44.xml><?xml version="1.0" encoding="utf-8"?>
<table xmlns="http://schemas.openxmlformats.org/spreadsheetml/2006/main" id="46" name="ResumoMódulo257_47" displayName="ResumoMódulo257_47" ref="A68:D72" totalsRowCount="1">
  <autoFilter ref="A68:D71"/>
  <tableColumns count="4">
    <tableColumn id="1" name="2" totalsRowLabel="Total" dataDxfId="166"/>
    <tableColumn id="2" name="Encargos e Benefícios Anuais, Mensais e Diários" dataDxfId="167"/>
    <tableColumn id="3" name="Comentário" dataDxfId="168"/>
    <tableColumn id="4" name="Valor" totalsRowFunction="custom">
      <totalsRowFormula>TRUNC((SUM(D69:D71)),2)</totalsRowFormula>
       dataDxfId="169"
    </tableColumn>
  </tableColumns>
  <tableStyleInfo showFirstColumn="0" showLastColumn="0" showRowStripes="1" showColumnStripes="0"/>
</table>
</file>

<file path=xl/tables/table45.xml><?xml version="1.0" encoding="utf-8"?>
<table xmlns="http://schemas.openxmlformats.org/spreadsheetml/2006/main" id="47" name="Submódulo2.154_48" displayName="Submódulo2.154_48" ref="A36:D39" totalsRowCount="1">
  <autoFilter ref="A36:D38"/>
  <tableColumns count="4">
    <tableColumn id="1" name="2.1" totalsRowLabel="Total" dataDxfId="170"/>
    <tableColumn id="2" name="13º (décimo terceiro) Salário, Férias e Adicional de Férias" dataDxfId="171"/>
    <tableColumn id="3" name="Percentual" dataDxfId="172"/>
    <tableColumn id="4" name="Valor" totalsRowFunction="custom">
      <totalsRowFormula>TRUNC((SUM(D37:D38)),2)</totalsRowFormula>
       dataDxfId="173"
    </tableColumn>
  </tableColumns>
  <tableStyleInfo showFirstColumn="0" showLastColumn="0" showRowStripes="1" showColumnStripes="0"/>
</table>
</file>

<file path=xl/tables/table46.xml><?xml version="1.0" encoding="utf-8"?>
<table xmlns="http://schemas.openxmlformats.org/spreadsheetml/2006/main" id="48" name="ResumoMódulo461_49" displayName="ResumoMódulo461_49" ref="A106:D109" totalsRowCount="1">
  <autoFilter ref="A106:D108"/>
  <tableColumns count="4">
    <tableColumn id="1" name="4" totalsRowLabel="Total" dataDxfId="174"/>
    <tableColumn id="2" name="Custo de Reposição do Profissional Ausente" dataDxfId="175"/>
    <tableColumn id="3" name="Comentário" totalsRowLabel="*Nota: Se o titular USUFRUIR do descanso intrajornada, o total é o somatório dos subitens 4.1 e 4.2" dataDxfId="176"/>
    <tableColumn id="4" name="Valor" totalsRowFunction="custom">
      <totalsRowFormula>TRUNC((SUM(D107:D108)),2)</totalsRowFormula>
       dataDxfId="177"
    </tableColumn>
  </tableColumns>
  <tableStyleInfo showFirstColumn="0" showLastColumn="0" showRowStripes="1" showColumnStripes="0"/>
</table>
</file>

<file path=xl/tables/table47.xml><?xml version="1.0" encoding="utf-8"?>
<table xmlns="http://schemas.openxmlformats.org/spreadsheetml/2006/main" id="49" name="Submódulo2.255_50" displayName="Submódulo2.255_50" ref="A46:D55" totalsRowCount="1">
  <autoFilter ref="A46:D54"/>
  <tableColumns count="4">
    <tableColumn id="1" name="2.2" totalsRowLabel="Total" dataDxfId="178"/>
    <tableColumn id="2" name="GPS, FGTS e outras contribuições" dataDxfId="179"/>
    <tableColumn id="3" name="Percentual" totalsRowFunction="custom">
      <totalsRowFormula>SUM(C47:C54)</totalsRowFormula>
       dataDxfId="180"
    </tableColumn>
    <tableColumn id="4" name="Valor " totalsRowFunction="custom">
      <totalsRowFormula>TRUNC((SUM(D47:D54)),2)</totalsRowFormula>
       dataDxfId="181"
    </tableColumn>
  </tableColumns>
  <tableStyleInfo showFirstColumn="0" showLastColumn="0" showRowStripes="1" showColumnStripes="0"/>
</table>
</file>

<file path=xl/tables/table48.xml><?xml version="1.0" encoding="utf-8"?>
<table xmlns="http://schemas.openxmlformats.org/spreadsheetml/2006/main" id="50" name="ResumoPosto64_51" displayName="ResumoPosto64_51" ref="A139:D147" totalsRowShown="0">
  <autoFilter ref="A139:D147"/>
  <tableColumns count="4">
    <tableColumn id="1" name="Item" dataDxfId="182"/>
    <tableColumn id="2" name="Mão de obra vinculada à execução contratual" dataDxfId="183"/>
    <tableColumn id="3" name="-" dataDxfId="184"/>
    <tableColumn id="4" name="Valor" dataDxfId="185"/>
  </tableColumns>
  <tableStyleInfo showFirstColumn="0" showLastColumn="0" showRowStripes="1" showColumnStripes="0"/>
</table>
</file>

<file path=xl/tables/table49.xml><?xml version="1.0" encoding="utf-8"?>
<table xmlns="http://schemas.openxmlformats.org/spreadsheetml/2006/main" id="51" name="Módulo153_52" displayName="Módulo153_52" ref="A24:D31" totalsRowCount="1">
  <autoFilter ref="A24:D30"/>
  <tableColumns count="4">
    <tableColumn id="1" name="1" totalsRowLabel="Total" dataDxfId="186"/>
    <tableColumn id="2" name="Composição da Remuneração" dataDxfId="187"/>
    <tableColumn id="3" name="Comentário" dataDxfId="188"/>
    <tableColumn id="4" name="Valor" totalsRowFunction="custom">
      <totalsRowFormula>TRUNC((SUM(D25:D30)),2)</totalsRowFormula>
       dataDxfId="189"
    </tableColumn>
  </tableColumns>
  <tableStyleInfo showFirstColumn="0" showLastColumn="0" showRowStripes="1" showColumnStripes="0"/>
</table>
</file>

<file path=xl/tables/table5.xml><?xml version="1.0" encoding="utf-8"?>
<table xmlns="http://schemas.openxmlformats.org/spreadsheetml/2006/main" id="6" name="Módulo3" displayName="Módulo3" ref="A68:D75" totalsRowCount="1">
  <autoFilter ref="A68:D74"/>
  <tableColumns count="4">
    <tableColumn id="1" name="3" dataDxfId="10"/>
    <tableColumn id="2" name="Provisão para Rescisão" dataDxfId="11"/>
    <tableColumn id="3" name="Comentário" dataDxfId="12"/>
    <tableColumn id="4" name="Valor" dataDxfId="13"/>
  </tableColumns>
  <tableStyleInfo showFirstColumn="0" showLastColumn="0" showRowStripes="1" showColumnStripes="0"/>
</table>
</file>

<file path=xl/tables/table50.xml><?xml version="1.0" encoding="utf-8"?>
<table xmlns="http://schemas.openxmlformats.org/spreadsheetml/2006/main" id="52" name="Submódulo2.356_53" displayName="Submódulo2.356_53" ref="A58:D65" totalsRowCount="1">
  <autoFilter ref="A58:D64"/>
  <tableColumns count="4">
    <tableColumn id="1" name="2.3" totalsRowLabel="Total" dataDxfId="190"/>
    <tableColumn id="2" name="Benefícios Mensais e Diários" dataDxfId="191"/>
    <tableColumn id="3" name="Comentário" dataDxfId="192"/>
    <tableColumn id="4" name="Valor" totalsRowFunction="custom">
      <totalsRowFormula>TRUNC((SUM(D59:D64)),2)</totalsRowFormula>
       dataDxfId="193"
    </tableColumn>
  </tableColumns>
  <tableStyleInfo showFirstColumn="0" showLastColumn="0" showRowStripes="1" showColumnStripes="0"/>
</table>
</file>

<file path=xl/tables/table51.xml><?xml version="1.0" encoding="utf-8"?>
<table xmlns="http://schemas.openxmlformats.org/spreadsheetml/2006/main" id="53" name="Submódulo4.159_54" displayName="Submódulo4.159_54" ref="A91:D98" totalsRowCount="1">
  <autoFilter ref="A91:D97"/>
  <tableColumns count="4">
    <tableColumn id="1" name="4.1" totalsRowLabel="Total" dataDxfId="194"/>
    <tableColumn id="2" name="Substituto nas Ausências Legais" dataDxfId="195"/>
    <tableColumn id="3" name="Percentual" totalsRowFunction="custom">
      <totalsRowFormula>SUM(C92:C97)</totalsRowFormula>
       dataDxfId="196"
    </tableColumn>
    <tableColumn id="4" name="Valor" totalsRowFunction="custom">
      <totalsRowFormula>TRUNC((SUM(D92:D97)),2)</totalsRowFormula>
       dataDxfId="197"
    </tableColumn>
  </tableColumns>
  <tableStyleInfo showFirstColumn="0" showLastColumn="0" showRowStripes="1" showColumnStripes="0"/>
</table>
</file>

<file path=xl/tables/table52.xml><?xml version="1.0" encoding="utf-8"?>
<table xmlns="http://schemas.openxmlformats.org/spreadsheetml/2006/main" id="54" name="Submódulo4.260_55" displayName="Submódulo4.260_55" ref="A101:D103" totalsRowCount="1">
  <autoFilter ref="A101:D102"/>
  <tableColumns count="4">
    <tableColumn id="1" name="4.2" totalsRowLabel="Total" dataDxfId="198"/>
    <tableColumn id="2" name="Substituto na Intrajornada " dataDxfId="199"/>
    <tableColumn id="3" name="Comentário" dataDxfId="200"/>
    <tableColumn id="4" name="Valor" totalsRowFunction="custom">
      <totalsRowFormula>D102</totalsRowFormula>
       dataDxfId="201"
    </tableColumn>
  </tableColumns>
  <tableStyleInfo showFirstColumn="0" showLastColumn="0" showRowStripes="1" showColumnStripes="0"/>
</table>
</file>

<file path=xl/tables/table53.xml><?xml version="1.0" encoding="utf-8"?>
<table xmlns="http://schemas.openxmlformats.org/spreadsheetml/2006/main" id="55" name="Table452_56" displayName="Table452_56" ref="A16:D21" totalsRowShown="0">
  <tableColumns count="4">
    <tableColumn id="1" name="Item" dataDxfId="202"/>
    <tableColumn id="2" name="Descrição" dataDxfId="203"/>
    <tableColumn id="3" name="Comentário" dataDxfId="204"/>
    <tableColumn id="4" name="Valor" dataDxfId="205"/>
  </tableColumns>
  <tableStyleInfo showFirstColumn="0" showLastColumn="0" showRowStripes="1" showColumnStripes="0"/>
</table>
</file>

<file path=xl/tables/table54.xml><?xml version="1.0" encoding="utf-8"?>
<table xmlns="http://schemas.openxmlformats.org/spreadsheetml/2006/main" id="56" name="Módulo358_57" displayName="Módulo358_57" ref="A75:D82" totalsRowCount="1">
  <autoFilter ref="A75:D81"/>
  <tableColumns count="4">
    <tableColumn id="1" name="3" totalsRowLabel="Total" dataDxfId="206"/>
    <tableColumn id="2" name="Provisão para Rescisão" dataDxfId="207"/>
    <tableColumn id="3" name="Percentual" totalsRowFunction="custom">
      <totalsRowFormula>SUM(C76:C81)</totalsRowFormula>
       dataDxfId="208"
    </tableColumn>
    <tableColumn id="4" name="Valor" totalsRowFunction="custom">
      <totalsRowFormula>TRUNC((SUM(D76:D81)),2)</totalsRowFormula>
       dataDxfId="209"
    </tableColumn>
  </tableColumns>
  <tableStyleInfo showFirstColumn="0" showLastColumn="0" showRowStripes="1" showColumnStripes="0"/>
</table>
</file>

<file path=xl/tables/table55.xml><?xml version="1.0" encoding="utf-8"?>
<table xmlns="http://schemas.openxmlformats.org/spreadsheetml/2006/main" id="57" name="Módulo562_58" displayName="Módulo562_58" ref="A112:D118" totalsRowCount="1">
  <autoFilter ref="A112:D117"/>
  <tableColumns count="4">
    <tableColumn id="1" name="5" totalsRowLabel="Total" dataDxfId="210"/>
    <tableColumn id="2" name="Insumos Diversos" dataDxfId="211"/>
    <tableColumn id="3" name="Comentário" dataDxfId="212"/>
    <tableColumn id="4" name="Valor" totalsRowFunction="custom">
      <totalsRowFormula>TRUNC(SUM(D113:D117),2)</totalsRowFormula>
       dataDxfId="213"
    </tableColumn>
  </tableColumns>
  <tableStyleInfo showFirstColumn="0" showLastColumn="0" showRowStripes="1" showColumnStripes="0"/>
</table>
</file>

<file path=xl/tables/table56.xml><?xml version="1.0" encoding="utf-8"?>
<table xmlns="http://schemas.openxmlformats.org/spreadsheetml/2006/main" id="58" name="Módulo663_59" displayName="Módulo663_59" ref="A128:D135" totalsRowCount="1">
  <tableColumns count="4">
    <tableColumn id="1" name="6" totalsRowLabel="Total" dataDxfId="214"/>
    <tableColumn id="2" name="Custos Indiretos, Tributos e Lucro" dataDxfId="215"/>
    <tableColumn id="3" name="Percentual" dataDxfId="216"/>
    <tableColumn id="4" name="Valor" totalsRowFunction="custom">
      <totalsRowFormula>TRUNC(SUM(D129:D131),2)</totalsRowFormula>
       dataDxfId="217"
    </tableColumn>
  </tableColumns>
  <tableStyleInfo showFirstColumn="0" showLastColumn="0" showRowStripes="1" showColumnStripes="0"/>
</table>
</file>

<file path=xl/tables/table57.xml><?xml version="1.0" encoding="utf-8"?>
<table xmlns="http://schemas.openxmlformats.org/spreadsheetml/2006/main" id="59" name="ResumoMódulo257_60" displayName="ResumoMódulo257_60" ref="A68:D72" totalsRowCount="1">
  <autoFilter ref="A68:D71"/>
  <tableColumns count="4">
    <tableColumn id="1" name="2" totalsRowLabel="Total" dataDxfId="218"/>
    <tableColumn id="2" name="Encargos e Benefícios Anuais, Mensais e Diários" dataDxfId="219"/>
    <tableColumn id="3" name="Comentário" dataDxfId="220"/>
    <tableColumn id="4" name="Valor" totalsRowFunction="custom">
      <totalsRowFormula>TRUNC((SUM(D69:D71)),2)</totalsRowFormula>
       dataDxfId="221"
    </tableColumn>
  </tableColumns>
  <tableStyleInfo showFirstColumn="0" showLastColumn="0" showRowStripes="1" showColumnStripes="0"/>
</table>
</file>

<file path=xl/tables/table58.xml><?xml version="1.0" encoding="utf-8"?>
<table xmlns="http://schemas.openxmlformats.org/spreadsheetml/2006/main" id="60" name="Submódulo2.154_61" displayName="Submódulo2.154_61" ref="A36:D39" totalsRowCount="1">
  <autoFilter ref="A36:D38"/>
  <tableColumns count="4">
    <tableColumn id="1" name="2.1" totalsRowLabel="Total" dataDxfId="222"/>
    <tableColumn id="2" name="13º (décimo terceiro) Salário, Férias e Adicional de Férias" dataDxfId="223"/>
    <tableColumn id="3" name="Percentual" dataDxfId="224"/>
    <tableColumn id="4" name="Valor" totalsRowFunction="custom">
      <totalsRowFormula>TRUNC((SUM(D37:D38)),2)</totalsRowFormula>
       dataDxfId="225"
    </tableColumn>
  </tableColumns>
  <tableStyleInfo showFirstColumn="0" showLastColumn="0" showRowStripes="1" showColumnStripes="0"/>
</table>
</file>

<file path=xl/tables/table59.xml><?xml version="1.0" encoding="utf-8"?>
<table xmlns="http://schemas.openxmlformats.org/spreadsheetml/2006/main" id="61" name="ResumoMódulo461_62" displayName="ResumoMódulo461_62" ref="A106:D109" totalsRowCount="1">
  <autoFilter ref="A106:D108"/>
  <tableColumns count="4">
    <tableColumn id="1" name="4" totalsRowLabel="Total" dataDxfId="226"/>
    <tableColumn id="2" name="Custo de Reposição do Profissional Ausente" dataDxfId="227"/>
    <tableColumn id="3" name="Comentário" totalsRowLabel="*Nota: Se o titular USUFRUIR do descanso intrajornada, o total é o somatório dos subitens 4.1 e 4.2" dataDxfId="228"/>
    <tableColumn id="4" name="Valor" totalsRowFunction="custom">
      <totalsRowFormula>TRUNC((SUM(D107:D108)),2)</totalsRowFormula>
       dataDxfId="229"
    </tableColumn>
  </tableColumns>
  <tableStyleInfo showFirstColumn="0" showLastColumn="0" showRowStripes="1" showColumnStripes="0"/>
</table>
</file>

<file path=xl/tables/table6.xml><?xml version="1.0" encoding="utf-8"?>
<table xmlns="http://schemas.openxmlformats.org/spreadsheetml/2006/main" id="8" name="Módulo5" displayName="Módulo5" ref="A114:D119" totalsRowCount="1">
  <autoFilter ref="A114:D118"/>
  <tableColumns count="4">
    <tableColumn id="1" name="5" dataDxfId="14"/>
    <tableColumn id="2" name="Insumos Diversos" dataDxfId="15"/>
    <tableColumn id="3" name="Comentário" dataDxfId="16"/>
    <tableColumn id="4" name="Valor" dataDxfId="17"/>
  </tableColumns>
  <tableStyleInfo showFirstColumn="0" showLastColumn="0" showRowStripes="1" showColumnStripes="0"/>
</table>
</file>

<file path=xl/tables/table60.xml><?xml version="1.0" encoding="utf-8"?>
<table xmlns="http://schemas.openxmlformats.org/spreadsheetml/2006/main" id="62" name="Submódulo2.255_63" displayName="Submódulo2.255_63" ref="A46:D55" totalsRowCount="1">
  <autoFilter ref="A46:D54"/>
  <tableColumns count="4">
    <tableColumn id="1" name="2.2" totalsRowLabel="Total" dataDxfId="230"/>
    <tableColumn id="2" name="GPS, FGTS e outras contribuições" dataDxfId="231"/>
    <tableColumn id="3" name="Percentual" totalsRowFunction="custom">
      <totalsRowFormula>SUM(C47:C54)</totalsRowFormula>
       dataDxfId="232"
    </tableColumn>
    <tableColumn id="4" name="Valor " totalsRowFunction="custom">
      <totalsRowFormula>TRUNC((SUM(D47:D54)),2)</totalsRowFormula>
       dataDxfId="233"
    </tableColumn>
  </tableColumns>
  <tableStyleInfo showFirstColumn="0" showLastColumn="0" showRowStripes="1" showColumnStripes="0"/>
</table>
</file>

<file path=xl/tables/table61.xml><?xml version="1.0" encoding="utf-8"?>
<table xmlns="http://schemas.openxmlformats.org/spreadsheetml/2006/main" id="63" name="ResumoPosto64_64" displayName="ResumoPosto64_64" ref="A139:D148" totalsRowShown="0">
  <autoFilter ref="A139:D148"/>
  <tableColumns count="4">
    <tableColumn id="1" name="Item" dataDxfId="234"/>
    <tableColumn id="2" name="Mão de obra vinculada à execução contratual" dataDxfId="235"/>
    <tableColumn id="3" name="-" dataDxfId="236"/>
    <tableColumn id="4" name="Valor" dataDxfId="237"/>
  </tableColumns>
  <tableStyleInfo showFirstColumn="0" showLastColumn="0" showRowStripes="1" showColumnStripes="0"/>
</table>
</file>

<file path=xl/tables/table62.xml><?xml version="1.0" encoding="utf-8"?>
<table xmlns="http://schemas.openxmlformats.org/spreadsheetml/2006/main" id="77" name="Módulo153_78" displayName="Módulo153_78" ref="A24:D31" totalsRowCount="1">
  <autoFilter ref="A24:D30"/>
  <tableColumns count="4">
    <tableColumn id="1" name="1" totalsRowLabel="Total" dataDxfId="238"/>
    <tableColumn id="2" name="Composição da Remuneração" dataDxfId="239"/>
    <tableColumn id="3" name="Comentário" dataDxfId="240"/>
    <tableColumn id="4" name="Valor" totalsRowFunction="custom">
      <totalsRowFormula>TRUNC(SUM(D25:D30),2)</totalsRowFormula>
       dataDxfId="241"
    </tableColumn>
  </tableColumns>
  <tableStyleInfo showFirstColumn="0" showLastColumn="0" showRowStripes="1" showColumnStripes="0"/>
</table>
</file>

<file path=xl/tables/table63.xml><?xml version="1.0" encoding="utf-8"?>
<table xmlns="http://schemas.openxmlformats.org/spreadsheetml/2006/main" id="78" name="Submódulo2.356_79" displayName="Submódulo2.356_79" ref="A58:D65" totalsRowCount="1">
  <autoFilter ref="A58:D64"/>
  <tableColumns count="4">
    <tableColumn id="1" name="2.3" totalsRowLabel="Total" dataDxfId="242"/>
    <tableColumn id="2" name="Benefícios Mensais e Diários" dataDxfId="243"/>
    <tableColumn id="3" name="Comentário" dataDxfId="244"/>
    <tableColumn id="4" name="Valor" totalsRowFunction="custom">
      <totalsRowFormula>TRUNC((SUM(D59:D64)),2)</totalsRowFormula>
       dataDxfId="245"
    </tableColumn>
  </tableColumns>
  <tableStyleInfo showFirstColumn="0" showLastColumn="0" showRowStripes="1" showColumnStripes="0"/>
</table>
</file>

<file path=xl/tables/table64.xml><?xml version="1.0" encoding="utf-8"?>
<table xmlns="http://schemas.openxmlformats.org/spreadsheetml/2006/main" id="79" name="Submódulo4.159_80" displayName="Submódulo4.159_80" ref="A91:D98" totalsRowCount="1">
  <autoFilter ref="A91:D97"/>
  <tableColumns count="4">
    <tableColumn id="1" name="4.1" totalsRowLabel="Total" dataDxfId="246"/>
    <tableColumn id="2" name="Substituto nas Ausências Legais" dataDxfId="247"/>
    <tableColumn id="3" name="Percentual" totalsRowFunction="custom">
      <totalsRowFormula>SUM(C92:C97)</totalsRowFormula>
       dataDxfId="248"
    </tableColumn>
    <tableColumn id="4" name="Valor" totalsRowFunction="custom">
      <totalsRowFormula>TRUNC((SUM(D92:D97)),2)</totalsRowFormula>
       dataDxfId="249"
    </tableColumn>
  </tableColumns>
  <tableStyleInfo showFirstColumn="0" showLastColumn="0" showRowStripes="1" showColumnStripes="0"/>
</table>
</file>

<file path=xl/tables/table65.xml><?xml version="1.0" encoding="utf-8"?>
<table xmlns="http://schemas.openxmlformats.org/spreadsheetml/2006/main" id="80" name="Submódulo4.260_81" displayName="Submódulo4.260_81" ref="A101:D103" totalsRowCount="1">
  <autoFilter ref="A101:D102"/>
  <tableColumns count="4">
    <tableColumn id="1" name="4.2" totalsRowLabel="Total" dataDxfId="250"/>
    <tableColumn id="2" name="Substituto na Intrajornada " dataDxfId="251"/>
    <tableColumn id="3" name="Comentário" dataDxfId="252"/>
    <tableColumn id="4" name="Valor" totalsRowFunction="custom">
      <totalsRowFormula>D102</totalsRowFormula>
       dataDxfId="253"
    </tableColumn>
  </tableColumns>
  <tableStyleInfo showFirstColumn="0" showLastColumn="0" showRowStripes="1" showColumnStripes="0"/>
</table>
</file>

<file path=xl/tables/table66.xml><?xml version="1.0" encoding="utf-8"?>
<table xmlns="http://schemas.openxmlformats.org/spreadsheetml/2006/main" id="81" name="Table452_82" displayName="Table452_82" ref="A16:D21" totalsRowShown="0">
  <tableColumns count="4">
    <tableColumn id="1" name="Item" dataDxfId="254"/>
    <tableColumn id="2" name="Descrição" dataDxfId="255"/>
    <tableColumn id="3" name="Comentário" dataDxfId="256"/>
    <tableColumn id="4" name="Valor" dataDxfId="257"/>
  </tableColumns>
  <tableStyleInfo showFirstColumn="0" showLastColumn="0" showRowStripes="1" showColumnStripes="0"/>
</table>
</file>

<file path=xl/tables/table67.xml><?xml version="1.0" encoding="utf-8"?>
<table xmlns="http://schemas.openxmlformats.org/spreadsheetml/2006/main" id="82" name="Módulo358_83" displayName="Módulo358_83" ref="A75:D82" totalsRowCount="1">
  <autoFilter ref="A75:D81"/>
  <tableColumns count="4">
    <tableColumn id="1" name="3" totalsRowLabel="Total" dataDxfId="258"/>
    <tableColumn id="2" name="Provisão para Rescisão" dataDxfId="259"/>
    <tableColumn id="3" name="Percentual" totalsRowFunction="custom">
      <totalsRowFormula>SUM(C76:C81)</totalsRowFormula>
       dataDxfId="260"
    </tableColumn>
    <tableColumn id="4" name="Valor" totalsRowFunction="custom">
      <totalsRowFormula>TRUNC((SUM(D76:D81)),2)</totalsRowFormula>
       dataDxfId="261"
    </tableColumn>
  </tableColumns>
  <tableStyleInfo showFirstColumn="0" showLastColumn="0" showRowStripes="1" showColumnStripes="0"/>
</table>
</file>

<file path=xl/tables/table68.xml><?xml version="1.0" encoding="utf-8"?>
<table xmlns="http://schemas.openxmlformats.org/spreadsheetml/2006/main" id="83" name="Módulo562_84" displayName="Módulo562_84" ref="A112:D118" totalsRowCount="1">
  <autoFilter ref="A112:D117"/>
  <tableColumns count="4">
    <tableColumn id="1" name="5" totalsRowLabel="Total" dataDxfId="262"/>
    <tableColumn id="2" name="Insumos Diversos" dataDxfId="263"/>
    <tableColumn id="3" name="Comentário" dataDxfId="264"/>
    <tableColumn id="4" name="Valor" totalsRowFunction="custom">
      <totalsRowFormula>TRUNC(SUM(D113:D117),2)</totalsRowFormula>
       dataDxfId="265"
    </tableColumn>
  </tableColumns>
  <tableStyleInfo showFirstColumn="0" showLastColumn="0" showRowStripes="1" showColumnStripes="0"/>
</table>
</file>

<file path=xl/tables/table69.xml><?xml version="1.0" encoding="utf-8"?>
<table xmlns="http://schemas.openxmlformats.org/spreadsheetml/2006/main" id="84" name="Módulo663_85" displayName="Módulo663_85" ref="A128:D135" totalsRowCount="1">
  <tableColumns count="4">
    <tableColumn id="1" name="6" totalsRowLabel="Total" dataDxfId="266"/>
    <tableColumn id="2" name="Custos Indiretos, Tributos e Lucro" dataDxfId="267"/>
    <tableColumn id="3" name="Percentual" dataDxfId="268"/>
    <tableColumn id="4" name="Valor" totalsRowFunction="custom">
      <totalsRowFormula>TRUNC(SUM(D129:D131),2)</totalsRowFormula>
       dataDxfId="269"
    </tableColumn>
  </tableColumns>
  <tableStyleInfo showFirstColumn="0" showLastColumn="0" showRowStripes="1" showColumnStripes="0"/>
</table>
</file>

<file path=xl/tables/table7.xml><?xml version="1.0" encoding="utf-8"?>
<table xmlns="http://schemas.openxmlformats.org/spreadsheetml/2006/main" id="10" name="Módulo6" displayName="Módulo6" ref="A129:D136" totalsRowCount="1">
  <tableColumns count="4">
    <tableColumn id="1" name="6" dataDxfId="18"/>
    <tableColumn id="2" name="Custos Indiretos, Tributos e Lucro" dataDxfId="19"/>
    <tableColumn id="3" name="Percentual" dataDxfId="20"/>
    <tableColumn id="4" name="Valor" dataDxfId="21"/>
  </tableColumns>
  <tableStyleInfo showFirstColumn="0" showLastColumn="0" showRowStripes="1" showColumnStripes="0"/>
</table>
</file>

<file path=xl/tables/table70.xml><?xml version="1.0" encoding="utf-8"?>
<table xmlns="http://schemas.openxmlformats.org/spreadsheetml/2006/main" id="85" name="ResumoMódulo257_86" displayName="ResumoMódulo257_86" ref="A68:D72" totalsRowCount="1">
  <autoFilter ref="A68:D71"/>
  <tableColumns count="4">
    <tableColumn id="1" name="2" totalsRowLabel="Total" dataDxfId="270"/>
    <tableColumn id="2" name="Encargos e Benefícios Anuais, Mensais e Diários" dataDxfId="271"/>
    <tableColumn id="3" name="Comentário" dataDxfId="272"/>
    <tableColumn id="4" name="Valor" totalsRowFunction="custom">
      <totalsRowFormula>TRUNC(SUM(D69:D71),2)</totalsRowFormula>
       dataDxfId="273"
    </tableColumn>
  </tableColumns>
  <tableStyleInfo showFirstColumn="0" showLastColumn="0" showRowStripes="1" showColumnStripes="0"/>
</table>
</file>

<file path=xl/tables/table71.xml><?xml version="1.0" encoding="utf-8"?>
<table xmlns="http://schemas.openxmlformats.org/spreadsheetml/2006/main" id="86" name="Submódulo2.154_87" displayName="Submódulo2.154_87" ref="A36:D39" totalsRowCount="1">
  <autoFilter ref="A36:D38"/>
  <tableColumns count="4">
    <tableColumn id="1" name="2.1" totalsRowLabel="Total" dataDxfId="274"/>
    <tableColumn id="2" name="13º (décimo terceiro) Salário, Férias e Adicional de Férias" dataDxfId="275"/>
    <tableColumn id="3" name="Percentual" dataDxfId="276"/>
    <tableColumn id="4" name="Valor" totalsRowFunction="custom">
      <totalsRowFormula>TRUNC((SUM(D37:D38)),2)</totalsRowFormula>
       dataDxfId="277"
    </tableColumn>
  </tableColumns>
  <tableStyleInfo showFirstColumn="0" showLastColumn="0" showRowStripes="1" showColumnStripes="0"/>
</table>
</file>

<file path=xl/tables/table72.xml><?xml version="1.0" encoding="utf-8"?>
<table xmlns="http://schemas.openxmlformats.org/spreadsheetml/2006/main" id="87" name="ResumoMódulo461_88" displayName="ResumoMódulo461_88" ref="A106:D109" totalsRowCount="1">
  <autoFilter ref="A106:D108"/>
  <tableColumns count="4">
    <tableColumn id="1" name="4" totalsRowLabel="Total" dataDxfId="278"/>
    <tableColumn id="2" name="Custo de Reposição do Profissional Ausente" dataDxfId="279"/>
    <tableColumn id="3" name="Comentário" totalsRowLabel="*Nota: Se o titular USUFRUIR do descanso intrajornada, o total é o somatório dos subitens 4.1 e 4.2" dataDxfId="280"/>
    <tableColumn id="4" name="Valor" totalsRowFunction="custom">
      <totalsRowFormula>TRUNC((SUM(D107:D108)),2)</totalsRowFormula>
       dataDxfId="281"
    </tableColumn>
  </tableColumns>
  <tableStyleInfo showFirstColumn="0" showLastColumn="0" showRowStripes="1" showColumnStripes="0"/>
</table>
</file>

<file path=xl/tables/table73.xml><?xml version="1.0" encoding="utf-8"?>
<table xmlns="http://schemas.openxmlformats.org/spreadsheetml/2006/main" id="88" name="Submódulo2.255_89" displayName="Submódulo2.255_89" ref="A46:D55" totalsRowCount="1">
  <autoFilter ref="A46:D54"/>
  <tableColumns count="4">
    <tableColumn id="1" name="2.2" totalsRowLabel="Total" dataDxfId="282"/>
    <tableColumn id="2" name="GPS, FGTS e outras contribuições" dataDxfId="283"/>
    <tableColumn id="3" name="Percentual" totalsRowFunction="custom">
      <totalsRowFormula>SUM(C47:C54)</totalsRowFormula>
       dataDxfId="284"
    </tableColumn>
    <tableColumn id="4" name="Valor " totalsRowFunction="custom">
      <totalsRowFormula>TRUNC((SUM(D47:D54)),2)</totalsRowFormula>
       dataDxfId="285"
    </tableColumn>
  </tableColumns>
  <tableStyleInfo showFirstColumn="0" showLastColumn="0" showRowStripes="1" showColumnStripes="0"/>
</table>
</file>

<file path=xl/tables/table74.xml><?xml version="1.0" encoding="utf-8"?>
<table xmlns="http://schemas.openxmlformats.org/spreadsheetml/2006/main" id="89" name="ResumoPosto64_90" displayName="ResumoPosto64_90" ref="A139:D147" totalsRowShown="0">
  <autoFilter ref="A139:D147"/>
  <tableColumns count="4">
    <tableColumn id="1" name="Item" dataDxfId="286"/>
    <tableColumn id="2" name="Mão de obra vinculada à execução contratual" dataDxfId="287"/>
    <tableColumn id="3" name="-" dataDxfId="288"/>
    <tableColumn id="4" name="Valor" dataDxfId="289"/>
  </tableColumns>
  <tableStyleInfo showFirstColumn="0" showLastColumn="0" showRowStripes="1" showColumnStripes="0"/>
</table>
</file>

<file path=xl/tables/table75.xml><?xml version="1.0" encoding="utf-8"?>
<table xmlns="http://schemas.openxmlformats.org/spreadsheetml/2006/main" id="9" name="ResumoPosto64_9010" displayName="ResumoPosto64_9010" ref="A139:D147" totalsRowShown="0">
  <autoFilter ref="A139:D147"/>
  <tableColumns count="4">
    <tableColumn id="1" name="Item" dataDxfId="290"/>
    <tableColumn id="2" name="Mão de obra vinculada à execução contratual" dataDxfId="291"/>
    <tableColumn id="3" name="-" dataDxfId="292"/>
    <tableColumn id="4" name="Valor" dataDxfId="293"/>
  </tableColumns>
  <tableStyleInfo showFirstColumn="0" showLastColumn="0" showRowStripes="1" showColumnStripes="0"/>
</table>
</file>

<file path=xl/tables/table76.xml><?xml version="1.0" encoding="utf-8"?>
<table xmlns="http://schemas.openxmlformats.org/spreadsheetml/2006/main" id="11" name="Submódulo2.154_8712" displayName="Submódulo2.154_8712" ref="A36:D39" totalsRowCount="1">
  <autoFilter ref="A36:D38"/>
  <tableColumns count="4">
    <tableColumn id="1" name="2.1" totalsRowLabel="Total" dataDxfId="294"/>
    <tableColumn id="2" name="13º (décimo terceiro) Salário, Férias e Adicional de Férias" dataDxfId="295"/>
    <tableColumn id="3" name="Percentual" dataDxfId="296"/>
    <tableColumn id="4" name="Valor" totalsRowFunction="custom">
      <totalsRowFormula>TRUNC((SUM(D37:D38)),2)</totalsRowFormula>
       dataDxfId="297"
    </tableColumn>
  </tableColumns>
  <tableStyleInfo showFirstColumn="0" showLastColumn="0" showRowStripes="1" showColumnStripes="0"/>
</table>
</file>

<file path=xl/tables/table77.xml><?xml version="1.0" encoding="utf-8"?>
<table xmlns="http://schemas.openxmlformats.org/spreadsheetml/2006/main" id="13" name="ResumoMódulo461_8814" displayName="ResumoMódulo461_8814" ref="A106:D109" totalsRowCount="1">
  <autoFilter ref="A106:D108"/>
  <tableColumns count="4">
    <tableColumn id="1" name="4" totalsRowLabel="Total" dataDxfId="298"/>
    <tableColumn id="2" name="Custo de Reposição do Profissional Ausente" dataDxfId="299"/>
    <tableColumn id="3" name="Comentário" totalsRowLabel="*Nota: Se o titular USUFRUIR do descanso intrajornada, o total é o somatório dos subitens 4.1 e 4.2" dataDxfId="300"/>
    <tableColumn id="4" name="Valor" totalsRowFunction="custom">
      <totalsRowFormula>TRUNC((SUM(D107:D108)),2)</totalsRowFormula>
       dataDxfId="301"
    </tableColumn>
  </tableColumns>
  <tableStyleInfo showFirstColumn="0" showLastColumn="0" showRowStripes="1" showColumnStripes="0"/>
</table>
</file>

<file path=xl/tables/table78.xml><?xml version="1.0" encoding="utf-8"?>
<table xmlns="http://schemas.openxmlformats.org/spreadsheetml/2006/main" id="15" name="Submódulo2.255_8916" displayName="Submódulo2.255_8916" ref="A46:D55" totalsRowCount="1">
  <autoFilter ref="A46:D54"/>
  <tableColumns count="4">
    <tableColumn id="1" name="2.2" totalsRowLabel="Total" dataDxfId="302"/>
    <tableColumn id="2" name="GPS, FGTS e outras contribuições" dataDxfId="303"/>
    <tableColumn id="3" name="Percentual" totalsRowFunction="custom">
      <totalsRowFormula>SUM(C47:C54)</totalsRowFormula>
       dataDxfId="304"
    </tableColumn>
    <tableColumn id="4" name="Valor " totalsRowFunction="custom">
      <totalsRowFormula>TRUNC((SUM(D47:D54)),2)</totalsRowFormula>
       dataDxfId="305"
    </tableColumn>
  </tableColumns>
  <tableStyleInfo showFirstColumn="0" showLastColumn="0" showRowStripes="1" showColumnStripes="0"/>
</table>
</file>

<file path=xl/tables/table79.xml><?xml version="1.0" encoding="utf-8"?>
<table xmlns="http://schemas.openxmlformats.org/spreadsheetml/2006/main" id="17" name="Submódulo4.159_8018" displayName="Submódulo4.159_8018" ref="A91:D98" totalsRowCount="1">
  <autoFilter ref="A91:D97"/>
  <tableColumns count="4">
    <tableColumn id="1" name="4.1" totalsRowLabel="Total" dataDxfId="306"/>
    <tableColumn id="2" name="Substituto nas Ausências Legais" dataDxfId="307"/>
    <tableColumn id="3" name="Percentual" totalsRowFunction="custom">
      <totalsRowFormula>SUM(C92:C97)</totalsRowFormula>
       dataDxfId="308"
    </tableColumn>
    <tableColumn id="4" name="Valor" totalsRowFunction="custom">
      <totalsRowFormula>TRUNC((SUM(D92:D97)),2)</totalsRowFormula>
       dataDxfId="309"
    </tableColumn>
  </tableColumns>
  <tableStyleInfo showFirstColumn="0" showLastColumn="0" showRowStripes="1" showColumnStripes="0"/>
</table>
</file>

<file path=xl/tables/table8.xml><?xml version="1.0" encoding="utf-8"?>
<table xmlns="http://schemas.openxmlformats.org/spreadsheetml/2006/main" id="12" name="ResumoMódulo2" displayName="ResumoMódulo2" ref="A61:D65" totalsRowCount="1">
  <autoFilter ref="A61:D64"/>
  <tableColumns count="4">
    <tableColumn id="1" name="2" dataDxfId="22"/>
    <tableColumn id="2" name="Encargos e Benefícios Anuais, Mensais e Diários" dataDxfId="23"/>
    <tableColumn id="3" name="Comentário" dataDxfId="24"/>
    <tableColumn id="4" name="Valor" dataDxfId="25"/>
  </tableColumns>
  <tableStyleInfo showFirstColumn="0" showLastColumn="0" showRowStripes="1" showColumnStripes="0"/>
</table>
</file>

<file path=xl/tables/table80.xml><?xml version="1.0" encoding="utf-8"?>
<table xmlns="http://schemas.openxmlformats.org/spreadsheetml/2006/main" id="19" name="Submódulo4.260_8120" displayName="Submódulo4.260_8120" ref="A101:D103" totalsRowCount="1">
  <autoFilter ref="A101:D102"/>
  <tableColumns count="4">
    <tableColumn id="1" name="4.2" totalsRowLabel="Total" dataDxfId="310"/>
    <tableColumn id="2" name="Substituto na Intrajornada " dataDxfId="311"/>
    <tableColumn id="3" name="Comentário" dataDxfId="312"/>
    <tableColumn id="4" name="Valor" totalsRowFunction="custom">
      <totalsRowFormula>D102</totalsRowFormula>
       dataDxfId="313"
    </tableColumn>
  </tableColumns>
  <tableStyleInfo showFirstColumn="0" showLastColumn="0" showRowStripes="1" showColumnStripes="0"/>
</table>
</file>

<file path=xl/tables/table81.xml><?xml version="1.0" encoding="utf-8"?>
<table xmlns="http://schemas.openxmlformats.org/spreadsheetml/2006/main" id="21" name="Table452_8222" displayName="Table452_8222" ref="A16:D21" totalsRowShown="0">
  <tableColumns count="4">
    <tableColumn id="1" name="Item" dataDxfId="314"/>
    <tableColumn id="2" name="Descrição" dataDxfId="315"/>
    <tableColumn id="3" name="Comentário" dataDxfId="316"/>
    <tableColumn id="4" name="Valor" dataDxfId="317"/>
  </tableColumns>
  <tableStyleInfo showFirstColumn="0" showLastColumn="0" showRowStripes="1" showColumnStripes="0"/>
</table>
</file>

<file path=xl/tables/table82.xml><?xml version="1.0" encoding="utf-8"?>
<table xmlns="http://schemas.openxmlformats.org/spreadsheetml/2006/main" id="23" name="Módulo562_8424" displayName="Módulo562_8424" ref="A112:D118" totalsRowCount="1">
  <autoFilter ref="A112:D117"/>
  <tableColumns count="4">
    <tableColumn id="1" name="5" totalsRowLabel="Total" dataDxfId="318"/>
    <tableColumn id="2" name="Insumos Diversos" dataDxfId="319"/>
    <tableColumn id="3" name="Comentário" dataDxfId="320"/>
    <tableColumn id="4" name="Valor" totalsRowFunction="custom">
      <totalsRowFormula>TRUNC(SUM((D113:D117)),2)</totalsRowFormula>
       dataDxfId="321"
    </tableColumn>
  </tableColumns>
  <tableStyleInfo showFirstColumn="0" showLastColumn="0" showRowStripes="1" showColumnStripes="0"/>
</table>
</file>

<file path=xl/tables/table83.xml><?xml version="1.0" encoding="utf-8"?>
<table xmlns="http://schemas.openxmlformats.org/spreadsheetml/2006/main" id="25" name="Módulo358_8326" displayName="Módulo358_8326" ref="A75:D82" totalsRowCount="1">
  <autoFilter ref="A75:D81"/>
  <tableColumns count="4">
    <tableColumn id="1" name="3" totalsRowLabel="Total" dataDxfId="322"/>
    <tableColumn id="2" name="Provisão para Rescisão" dataDxfId="323"/>
    <tableColumn id="3" name="Percentual" totalsRowFunction="custom">
      <totalsRowFormula>SUM(C76:C81)</totalsRowFormula>
       dataDxfId="324"
    </tableColumn>
    <tableColumn id="4" name="Valor" totalsRowFunction="custom">
      <totalsRowFormula>TRUNC((SUM(D76:D81)),2)</totalsRowFormula>
       dataDxfId="325"
    </tableColumn>
  </tableColumns>
  <tableStyleInfo showFirstColumn="0" showLastColumn="0" showRowStripes="1" showColumnStripes="0"/>
</table>
</file>

<file path=xl/tables/table84.xml><?xml version="1.0" encoding="utf-8"?>
<table xmlns="http://schemas.openxmlformats.org/spreadsheetml/2006/main" id="27" name="Módulo153_7828" displayName="Módulo153_7828" ref="A24:D31" totalsRowCount="1">
  <autoFilter ref="A24:D30"/>
  <tableColumns count="4">
    <tableColumn id="1" name="1" totalsRowLabel="Total" dataDxfId="326"/>
    <tableColumn id="2" name="Composição da Remuneração" dataDxfId="327"/>
    <tableColumn id="3" name="Comentário" dataDxfId="328"/>
    <tableColumn id="4" name="Valor" totalsRowFunction="custom">
      <totalsRowFormula>TRUNC(SUM(D25:D30),2)</totalsRowFormula>
       dataDxfId="329"
    </tableColumn>
  </tableColumns>
  <tableStyleInfo showFirstColumn="0" showLastColumn="0" showRowStripes="1" showColumnStripes="0"/>
</table>
</file>

<file path=xl/tables/table85.xml><?xml version="1.0" encoding="utf-8"?>
<table xmlns="http://schemas.openxmlformats.org/spreadsheetml/2006/main" id="29" name="ResumoMódulo257_8630" displayName="ResumoMódulo257_8630" ref="A68:D72" totalsRowCount="1">
  <autoFilter ref="A68:D71"/>
  <tableColumns count="4">
    <tableColumn id="1" name="2" totalsRowLabel="Total" dataDxfId="330"/>
    <tableColumn id="2" name="Encargos e Benefícios Anuais, Mensais e Diários" dataDxfId="331"/>
    <tableColumn id="3" name="Comentário" dataDxfId="332"/>
    <tableColumn id="4" name="Valor" totalsRowFunction="custom">
      <totalsRowFormula>TRUNC(SUM(D69:D71),2)</totalsRowFormula>
       dataDxfId="333"
    </tableColumn>
  </tableColumns>
  <tableStyleInfo showFirstColumn="0" showLastColumn="0" showRowStripes="1" showColumnStripes="0"/>
</table>
</file>

<file path=xl/tables/table86.xml><?xml version="1.0" encoding="utf-8"?>
<table xmlns="http://schemas.openxmlformats.org/spreadsheetml/2006/main" id="30" name="Submódulo2.356_7931" displayName="Submódulo2.356_7931" ref="A58:D65" totalsRowCount="1">
  <autoFilter ref="A58:D64"/>
  <tableColumns count="4">
    <tableColumn id="1" name="2.3" totalsRowLabel="Total" dataDxfId="334"/>
    <tableColumn id="2" name="Benefícios Mensais e Diários" dataDxfId="335"/>
    <tableColumn id="3" name="Comentário" dataDxfId="336"/>
    <tableColumn id="4" name="Valor" totalsRowFunction="custom">
      <totalsRowFormula>TRUNC((SUM(D59:D64)),2)</totalsRowFormula>
       dataDxfId="337"
    </tableColumn>
  </tableColumns>
  <tableStyleInfo showFirstColumn="0" showLastColumn="0" showRowStripes="1" showColumnStripes="0"/>
</table>
</file>

<file path=xl/tables/table87.xml><?xml version="1.0" encoding="utf-8"?>
<table xmlns="http://schemas.openxmlformats.org/spreadsheetml/2006/main" id="31" name="Módulo663_8532" displayName="Módulo663_8532" ref="A128:D135" totalsRowCount="1">
  <tableColumns count="4">
    <tableColumn id="1" name="6" totalsRowLabel="Total" dataDxfId="338"/>
    <tableColumn id="2" name="Custos Indiretos, Tributos e Lucro" dataDxfId="339"/>
    <tableColumn id="3" name="Percentual" dataDxfId="340"/>
    <tableColumn id="4" name="Valor" totalsRowFunction="custom">
      <totalsRowFormula>TRUNC(SUM(D129:D131),2)</totalsRowFormula>
       dataDxfId="341"
    </tableColumn>
  </tableColumns>
  <tableStyleInfo showFirstColumn="0" showLastColumn="0" showRowStripes="1" showColumnStripes="0"/>
</table>
</file>

<file path=xl/tables/table88.xml><?xml version="1.0" encoding="utf-8"?>
<table xmlns="http://schemas.openxmlformats.org/spreadsheetml/2006/main" id="90" name="Módulo562_842491" displayName="Módulo562_842491" ref="A112:D118" totalsRowCount="1">
  <autoFilter ref="A112:D117"/>
  <tableColumns count="4">
    <tableColumn id="1" name="5" totalsRowLabel="Total" dataDxfId="342"/>
    <tableColumn id="2" name="Insumos Diversos" dataDxfId="343"/>
    <tableColumn id="3" name="Comentário" dataDxfId="344"/>
    <tableColumn id="4" name="Valor" totalsRowFunction="custom">
      <totalsRowFormula>TRUNC(SUM((D113:D117)),2)</totalsRowFormula>
       dataDxfId="345"
    </tableColumn>
  </tableColumns>
  <tableStyleInfo showFirstColumn="0" showLastColumn="0" showRowStripes="1" showColumnStripes="0"/>
</table>
</file>

<file path=xl/tables/table89.xml><?xml version="1.0" encoding="utf-8"?>
<table xmlns="http://schemas.openxmlformats.org/spreadsheetml/2006/main" id="91" name="Submódulo2.255_891692" displayName="Submódulo2.255_891692" ref="A46:D55" totalsRowCount="1">
  <autoFilter ref="A46:D54"/>
  <tableColumns count="4">
    <tableColumn id="1" name="2.2" totalsRowLabel="Total" dataDxfId="346"/>
    <tableColumn id="2" name="GPS, FGTS e outras contribuições" dataDxfId="347"/>
    <tableColumn id="3" name="Percentual" totalsRowFunction="custom">
      <totalsRowFormula>SUM(C47:C54)</totalsRowFormula>
       dataDxfId="348"
    </tableColumn>
    <tableColumn id="4" name="Valor " totalsRowFunction="custom">
      <totalsRowFormula>TRUNC((SUM(D47:D54)),2)</totalsRowFormula>
       dataDxfId="349"
    </tableColumn>
  </tableColumns>
  <tableStyleInfo showFirstColumn="0" showLastColumn="0" showRowStripes="1" showColumnStripes="0"/>
</table>
</file>

<file path=xl/tables/table9.xml><?xml version="1.0" encoding="utf-8"?>
<table xmlns="http://schemas.openxmlformats.org/spreadsheetml/2006/main" id="14" name="ResumoMódulo4" displayName="ResumoMódulo4" ref="A108:D111" totalsRowCount="1">
  <autoFilter ref="A108:D110"/>
  <tableColumns count="4">
    <tableColumn id="1" name="4" dataDxfId="26"/>
    <tableColumn id="2" name="Custo de Reposição do Profissional Ausente" dataDxfId="27"/>
    <tableColumn id="3" name="Comentário" dataDxfId="28"/>
    <tableColumn id="4" name="Valor" dataDxfId="29"/>
  </tableColumns>
  <tableStyleInfo showFirstColumn="0" showLastColumn="0" showRowStripes="1" showColumnStripes="0"/>
</table>
</file>

<file path=xl/tables/table90.xml><?xml version="1.0" encoding="utf-8"?>
<table xmlns="http://schemas.openxmlformats.org/spreadsheetml/2006/main" id="92" name="Módulo663_853293" displayName="Módulo663_853293" ref="A128:D135" totalsRowCount="1">
  <tableColumns count="4">
    <tableColumn id="1" name="6" totalsRowLabel="Total" dataDxfId="350"/>
    <tableColumn id="2" name="Custos Indiretos, Tributos e Lucro" dataDxfId="351"/>
    <tableColumn id="3" name="Percentual" dataDxfId="352"/>
    <tableColumn id="4" name="Valor" totalsRowFunction="custom">
      <totalsRowFormula>TRUNC(SUM(D129:D131),2)</totalsRowFormula>
       dataDxfId="353"
    </tableColumn>
  </tableColumns>
  <tableStyleInfo showFirstColumn="0" showLastColumn="0" showRowStripes="1" showColumnStripes="0"/>
</table>
</file>

<file path=xl/tables/table91.xml><?xml version="1.0" encoding="utf-8"?>
<table xmlns="http://schemas.openxmlformats.org/spreadsheetml/2006/main" id="93" name="ResumoPosto64_901094" displayName="ResumoPosto64_901094" ref="A139:D147" totalsRowShown="0">
  <autoFilter ref="A139:D147"/>
  <tableColumns count="4">
    <tableColumn id="1" name="Item" dataDxfId="354"/>
    <tableColumn id="2" name="Mão de obra vinculada à execução contratual" dataDxfId="355"/>
    <tableColumn id="3" name="-" dataDxfId="356"/>
    <tableColumn id="4" name="Valor" dataDxfId="357"/>
  </tableColumns>
  <tableStyleInfo showFirstColumn="0" showLastColumn="0" showRowStripes="1" showColumnStripes="0"/>
</table>
</file>

<file path=xl/tables/table92.xml><?xml version="1.0" encoding="utf-8"?>
<table xmlns="http://schemas.openxmlformats.org/spreadsheetml/2006/main" id="94" name="ResumoMódulo461_881495" displayName="ResumoMódulo461_881495" ref="A106:D109" totalsRowCount="1">
  <autoFilter ref="A106:D108"/>
  <tableColumns count="4">
    <tableColumn id="1" name="4" totalsRowLabel="Total" dataDxfId="358"/>
    <tableColumn id="2" name="Custo de Reposição do Profissional Ausente" dataDxfId="359"/>
    <tableColumn id="3" name="Comentário" totalsRowLabel="*Nota: Se o titular USUFRUIR do descanso intrajornada, o total é o somatório dos subitens 4.1 e 4.2" dataDxfId="360"/>
    <tableColumn id="4" name="Valor" totalsRowFunction="custom">
      <totalsRowFormula>TRUNC((SUM(D107:D108)),2)</totalsRowFormula>
       dataDxfId="361"
    </tableColumn>
  </tableColumns>
  <tableStyleInfo showFirstColumn="0" showLastColumn="0" showRowStripes="1" showColumnStripes="0"/>
</table>
</file>

<file path=xl/tables/table93.xml><?xml version="1.0" encoding="utf-8"?>
<table xmlns="http://schemas.openxmlformats.org/spreadsheetml/2006/main" id="95" name="Módulo153_782896" displayName="Módulo153_782896" ref="A24:D31" totalsRowCount="1">
  <autoFilter ref="A24:D30"/>
  <tableColumns count="4">
    <tableColumn id="1" name="1" totalsRowLabel="Total" dataDxfId="362"/>
    <tableColumn id="2" name="Composição da Remuneração" dataDxfId="363"/>
    <tableColumn id="3" name="Comentário" dataDxfId="364"/>
    <tableColumn id="4" name="Valor" totalsRowFunction="custom">
      <totalsRowFormula>TRUNC(SUM(D25:D30),2)</totalsRowFormula>
       dataDxfId="365"
    </tableColumn>
  </tableColumns>
  <tableStyleInfo showFirstColumn="0" showLastColumn="0" showRowStripes="1" showColumnStripes="0"/>
</table>
</file>

<file path=xl/tables/table94.xml><?xml version="1.0" encoding="utf-8"?>
<table xmlns="http://schemas.openxmlformats.org/spreadsheetml/2006/main" id="96" name="Submódulo2.154_871297" displayName="Submódulo2.154_871297" ref="A36:D39" totalsRowCount="1">
  <autoFilter ref="A36:D38"/>
  <tableColumns count="4">
    <tableColumn id="1" name="2.1" totalsRowLabel="Total" dataDxfId="366"/>
    <tableColumn id="2" name="13º (décimo terceiro) Salário, Férias e Adicional de Férias" dataDxfId="367"/>
    <tableColumn id="3" name="Percentual" dataDxfId="368"/>
    <tableColumn id="4" name="Valor" totalsRowFunction="custom">
      <totalsRowFormula>TRUNC((SUM(D37:D38)),2)</totalsRowFormula>
       dataDxfId="369"
    </tableColumn>
  </tableColumns>
  <tableStyleInfo showFirstColumn="0" showLastColumn="0" showRowStripes="1" showColumnStripes="0"/>
</table>
</file>

<file path=xl/tables/table95.xml><?xml version="1.0" encoding="utf-8"?>
<table xmlns="http://schemas.openxmlformats.org/spreadsheetml/2006/main" id="97" name="Submódulo4.159_801898" displayName="Submódulo4.159_801898" ref="A91:D98" totalsRowCount="1">
  <autoFilter ref="A91:D97"/>
  <tableColumns count="4">
    <tableColumn id="1" name="4.1" totalsRowLabel="Total" dataDxfId="370"/>
    <tableColumn id="2" name="Substituto nas Ausências Legais" dataDxfId="371"/>
    <tableColumn id="3" name="Percentual" totalsRowFunction="custom">
      <totalsRowFormula>SUM(C92:C97)</totalsRowFormula>
       dataDxfId="372"
    </tableColumn>
    <tableColumn id="4" name="Valor" totalsRowFunction="custom">
      <totalsRowFormula>TRUNC((SUM(D92:D97)),2)</totalsRowFormula>
       dataDxfId="373"
    </tableColumn>
  </tableColumns>
  <tableStyleInfo showFirstColumn="0" showLastColumn="0" showRowStripes="1" showColumnStripes="0"/>
</table>
</file>

<file path=xl/tables/table96.xml><?xml version="1.0" encoding="utf-8"?>
<table xmlns="http://schemas.openxmlformats.org/spreadsheetml/2006/main" id="98" name="ResumoMódulo257_863099" displayName="ResumoMódulo257_863099" ref="A68:D72" totalsRowCount="1">
  <autoFilter ref="A68:D71"/>
  <tableColumns count="4">
    <tableColumn id="1" name="2" totalsRowLabel="Total" dataDxfId="374"/>
    <tableColumn id="2" name="Encargos e Benefícios Anuais, Mensais e Diários" dataDxfId="375"/>
    <tableColumn id="3" name="Comentário" dataDxfId="376"/>
    <tableColumn id="4" name="Valor" totalsRowFunction="custom">
      <totalsRowFormula>TRUNC(SUM(D69:D71),2)</totalsRowFormula>
       dataDxfId="377"
    </tableColumn>
  </tableColumns>
  <tableStyleInfo showFirstColumn="0" showLastColumn="0" showRowStripes="1" showColumnStripes="0"/>
</table>
</file>

<file path=xl/tables/table97.xml><?xml version="1.0" encoding="utf-8"?>
<table xmlns="http://schemas.openxmlformats.org/spreadsheetml/2006/main" id="99" name="Table452_8222100" displayName="Table452_8222100" ref="A16:D21" totalsRowShown="0">
  <tableColumns count="4">
    <tableColumn id="1" name="Item" dataDxfId="378"/>
    <tableColumn id="2" name="Descrição" dataDxfId="379"/>
    <tableColumn id="3" name="Comentário" dataDxfId="380"/>
    <tableColumn id="4" name="Valor" dataDxfId="381"/>
  </tableColumns>
  <tableStyleInfo showFirstColumn="0" showLastColumn="0" showRowStripes="1" showColumnStripes="0"/>
</table>
</file>

<file path=xl/tables/table98.xml><?xml version="1.0" encoding="utf-8"?>
<table xmlns="http://schemas.openxmlformats.org/spreadsheetml/2006/main" id="100" name="Submódulo2.356_7931101" displayName="Submódulo2.356_7931101" ref="A58:D65" totalsRowCount="1">
  <autoFilter ref="A58:D64"/>
  <tableColumns count="4">
    <tableColumn id="1" name="2.3" totalsRowLabel="Total" dataDxfId="382"/>
    <tableColumn id="2" name="Benefícios Mensais e Diários" dataDxfId="383"/>
    <tableColumn id="3" name="Comentário" dataDxfId="384"/>
    <tableColumn id="4" name="Valor" totalsRowFunction="custom">
      <totalsRowFormula>TRUNC((SUM(D59:D64)),2)</totalsRowFormula>
       dataDxfId="385"
    </tableColumn>
  </tableColumns>
  <tableStyleInfo showFirstColumn="0" showLastColumn="0" showRowStripes="1" showColumnStripes="0"/>
</table>
</file>

<file path=xl/tables/table99.xml><?xml version="1.0" encoding="utf-8"?>
<table xmlns="http://schemas.openxmlformats.org/spreadsheetml/2006/main" id="101" name="Submódulo4.260_8120102" displayName="Submódulo4.260_8120102" ref="A101:D103" totalsRowCount="1">
  <autoFilter ref="A101:D102"/>
  <tableColumns count="4">
    <tableColumn id="1" name="4.2" totalsRowLabel="Total" dataDxfId="386"/>
    <tableColumn id="2" name="Substituto na Intrajornada " dataDxfId="387"/>
    <tableColumn id="3" name="Comentário" dataDxfId="388"/>
    <tableColumn id="4" name="Valor" totalsRowFunction="custom">
      <totalsRowFormula>D102</totalsRowFormula>
       dataDxfId="389"
    </tableColumn>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0.xml.rels><?xml version="1.0" encoding="UTF-8" standalone="yes"?>
<Relationships xmlns="http://schemas.openxmlformats.org/package/2006/relationships"><Relationship Id="rId4" Type="http://schemas.openxmlformats.org/officeDocument/2006/relationships/table" Target="../tables/table104.xml"/><Relationship Id="rId3" Type="http://schemas.openxmlformats.org/officeDocument/2006/relationships/table" Target="../tables/table103.xml"/><Relationship Id="rId2" Type="http://schemas.openxmlformats.org/officeDocument/2006/relationships/table" Target="../tables/table102.xml"/><Relationship Id="rId1" Type="http://schemas.openxmlformats.org/officeDocument/2006/relationships/table" Target="../tables/table101.xml"/></Relationships>
</file>

<file path=xl/worksheets/_rels/sheet11.xml.rels><?xml version="1.0" encoding="UTF-8" standalone="yes"?>
<Relationships xmlns="http://schemas.openxmlformats.org/package/2006/relationships"><Relationship Id="rId2" Type="http://schemas.openxmlformats.org/officeDocument/2006/relationships/table" Target="../tables/table106.xml"/><Relationship Id="rId1" Type="http://schemas.openxmlformats.org/officeDocument/2006/relationships/table" Target="../tables/table105.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07.xml"/></Relationships>
</file>

<file path=xl/worksheets/_rels/sheet2.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9" Type="http://schemas.openxmlformats.org/officeDocument/2006/relationships/table" Target="../tables/table31.xml"/><Relationship Id="rId8" Type="http://schemas.openxmlformats.org/officeDocument/2006/relationships/table" Target="../tables/table30.xml"/><Relationship Id="rId7" Type="http://schemas.openxmlformats.org/officeDocument/2006/relationships/table" Target="../tables/table29.xml"/><Relationship Id="rId6" Type="http://schemas.openxmlformats.org/officeDocument/2006/relationships/table" Target="../tables/table28.xml"/><Relationship Id="rId5" Type="http://schemas.openxmlformats.org/officeDocument/2006/relationships/table" Target="../tables/table27.xml"/><Relationship Id="rId4" Type="http://schemas.openxmlformats.org/officeDocument/2006/relationships/table" Target="../tables/table26.xml"/><Relationship Id="rId3" Type="http://schemas.openxmlformats.org/officeDocument/2006/relationships/table" Target="../tables/table25.xml"/><Relationship Id="rId2" Type="http://schemas.openxmlformats.org/officeDocument/2006/relationships/table" Target="../tables/table24.xml"/><Relationship Id="rId13" Type="http://schemas.openxmlformats.org/officeDocument/2006/relationships/table" Target="../tables/table35.xml"/><Relationship Id="rId12" Type="http://schemas.openxmlformats.org/officeDocument/2006/relationships/table" Target="../tables/table34.xml"/><Relationship Id="rId11" Type="http://schemas.openxmlformats.org/officeDocument/2006/relationships/table" Target="../tables/table33.xml"/><Relationship Id="rId10" Type="http://schemas.openxmlformats.org/officeDocument/2006/relationships/table" Target="../tables/table32.xml"/><Relationship Id="rId1" Type="http://schemas.openxmlformats.org/officeDocument/2006/relationships/table" Target="../tables/table23.xml"/></Relationships>
</file>

<file path=xl/worksheets/_rels/sheet4.xml.rels><?xml version="1.0" encoding="UTF-8" standalone="yes"?>
<Relationships xmlns="http://schemas.openxmlformats.org/package/2006/relationships"><Relationship Id="rId9" Type="http://schemas.openxmlformats.org/officeDocument/2006/relationships/table" Target="../tables/table44.xml"/><Relationship Id="rId8" Type="http://schemas.openxmlformats.org/officeDocument/2006/relationships/table" Target="../tables/table43.xml"/><Relationship Id="rId7" Type="http://schemas.openxmlformats.org/officeDocument/2006/relationships/table" Target="../tables/table42.xml"/><Relationship Id="rId6" Type="http://schemas.openxmlformats.org/officeDocument/2006/relationships/table" Target="../tables/table41.xml"/><Relationship Id="rId5" Type="http://schemas.openxmlformats.org/officeDocument/2006/relationships/table" Target="../tables/table40.xml"/><Relationship Id="rId4" Type="http://schemas.openxmlformats.org/officeDocument/2006/relationships/table" Target="../tables/table39.xml"/><Relationship Id="rId3" Type="http://schemas.openxmlformats.org/officeDocument/2006/relationships/table" Target="../tables/table38.xml"/><Relationship Id="rId2" Type="http://schemas.openxmlformats.org/officeDocument/2006/relationships/table" Target="../tables/table37.xml"/><Relationship Id="rId13" Type="http://schemas.openxmlformats.org/officeDocument/2006/relationships/table" Target="../tables/table48.xml"/><Relationship Id="rId12" Type="http://schemas.openxmlformats.org/officeDocument/2006/relationships/table" Target="../tables/table47.xml"/><Relationship Id="rId11" Type="http://schemas.openxmlformats.org/officeDocument/2006/relationships/table" Target="../tables/table46.xml"/><Relationship Id="rId10" Type="http://schemas.openxmlformats.org/officeDocument/2006/relationships/table" Target="../tables/table45.xml"/><Relationship Id="rId1" Type="http://schemas.openxmlformats.org/officeDocument/2006/relationships/table" Target="../tables/table36.xml"/></Relationships>
</file>

<file path=xl/worksheets/_rels/sheet5.xml.rels><?xml version="1.0" encoding="UTF-8" standalone="yes"?>
<Relationships xmlns="http://schemas.openxmlformats.org/package/2006/relationships"><Relationship Id="rId9" Type="http://schemas.openxmlformats.org/officeDocument/2006/relationships/table" Target="../tables/table57.xml"/><Relationship Id="rId8" Type="http://schemas.openxmlformats.org/officeDocument/2006/relationships/table" Target="../tables/table56.xml"/><Relationship Id="rId7" Type="http://schemas.openxmlformats.org/officeDocument/2006/relationships/table" Target="../tables/table55.xml"/><Relationship Id="rId6" Type="http://schemas.openxmlformats.org/officeDocument/2006/relationships/table" Target="../tables/table54.xml"/><Relationship Id="rId5" Type="http://schemas.openxmlformats.org/officeDocument/2006/relationships/table" Target="../tables/table53.xml"/><Relationship Id="rId4" Type="http://schemas.openxmlformats.org/officeDocument/2006/relationships/table" Target="../tables/table52.xml"/><Relationship Id="rId3" Type="http://schemas.openxmlformats.org/officeDocument/2006/relationships/table" Target="../tables/table51.xml"/><Relationship Id="rId2" Type="http://schemas.openxmlformats.org/officeDocument/2006/relationships/table" Target="../tables/table50.xml"/><Relationship Id="rId13" Type="http://schemas.openxmlformats.org/officeDocument/2006/relationships/table" Target="../tables/table61.xml"/><Relationship Id="rId12" Type="http://schemas.openxmlformats.org/officeDocument/2006/relationships/table" Target="../tables/table60.xml"/><Relationship Id="rId11" Type="http://schemas.openxmlformats.org/officeDocument/2006/relationships/table" Target="../tables/table59.xml"/><Relationship Id="rId10" Type="http://schemas.openxmlformats.org/officeDocument/2006/relationships/table" Target="../tables/table58.xml"/><Relationship Id="rId1" Type="http://schemas.openxmlformats.org/officeDocument/2006/relationships/table" Target="../tables/table49.xml"/></Relationships>
</file>

<file path=xl/worksheets/_rels/sheet6.xml.rels><?xml version="1.0" encoding="UTF-8" standalone="yes"?>
<Relationships xmlns="http://schemas.openxmlformats.org/package/2006/relationships"><Relationship Id="rId9" Type="http://schemas.openxmlformats.org/officeDocument/2006/relationships/table" Target="../tables/table70.xml"/><Relationship Id="rId8" Type="http://schemas.openxmlformats.org/officeDocument/2006/relationships/table" Target="../tables/table69.xml"/><Relationship Id="rId7" Type="http://schemas.openxmlformats.org/officeDocument/2006/relationships/table" Target="../tables/table68.xml"/><Relationship Id="rId6" Type="http://schemas.openxmlformats.org/officeDocument/2006/relationships/table" Target="../tables/table67.xml"/><Relationship Id="rId5" Type="http://schemas.openxmlformats.org/officeDocument/2006/relationships/table" Target="../tables/table66.xml"/><Relationship Id="rId4" Type="http://schemas.openxmlformats.org/officeDocument/2006/relationships/table" Target="../tables/table65.xml"/><Relationship Id="rId3" Type="http://schemas.openxmlformats.org/officeDocument/2006/relationships/table" Target="../tables/table64.xml"/><Relationship Id="rId2" Type="http://schemas.openxmlformats.org/officeDocument/2006/relationships/table" Target="../tables/table63.xml"/><Relationship Id="rId13" Type="http://schemas.openxmlformats.org/officeDocument/2006/relationships/table" Target="../tables/table74.xml"/><Relationship Id="rId12" Type="http://schemas.openxmlformats.org/officeDocument/2006/relationships/table" Target="../tables/table73.xml"/><Relationship Id="rId11" Type="http://schemas.openxmlformats.org/officeDocument/2006/relationships/table" Target="../tables/table72.xml"/><Relationship Id="rId10" Type="http://schemas.openxmlformats.org/officeDocument/2006/relationships/table" Target="../tables/table71.xml"/><Relationship Id="rId1" Type="http://schemas.openxmlformats.org/officeDocument/2006/relationships/table" Target="../tables/table62.xml"/></Relationships>
</file>

<file path=xl/worksheets/_rels/sheet7.xml.rels><?xml version="1.0" encoding="UTF-8" standalone="yes"?>
<Relationships xmlns="http://schemas.openxmlformats.org/package/2006/relationships"><Relationship Id="rId9" Type="http://schemas.openxmlformats.org/officeDocument/2006/relationships/table" Target="../tables/table83.xml"/><Relationship Id="rId8" Type="http://schemas.openxmlformats.org/officeDocument/2006/relationships/table" Target="../tables/table82.xml"/><Relationship Id="rId7" Type="http://schemas.openxmlformats.org/officeDocument/2006/relationships/table" Target="../tables/table81.xml"/><Relationship Id="rId6" Type="http://schemas.openxmlformats.org/officeDocument/2006/relationships/table" Target="../tables/table80.xml"/><Relationship Id="rId5" Type="http://schemas.openxmlformats.org/officeDocument/2006/relationships/table" Target="../tables/table79.xml"/><Relationship Id="rId4" Type="http://schemas.openxmlformats.org/officeDocument/2006/relationships/table" Target="../tables/table78.xml"/><Relationship Id="rId3" Type="http://schemas.openxmlformats.org/officeDocument/2006/relationships/table" Target="../tables/table77.xml"/><Relationship Id="rId2" Type="http://schemas.openxmlformats.org/officeDocument/2006/relationships/table" Target="../tables/table76.xml"/><Relationship Id="rId13" Type="http://schemas.openxmlformats.org/officeDocument/2006/relationships/table" Target="../tables/table87.xml"/><Relationship Id="rId12" Type="http://schemas.openxmlformats.org/officeDocument/2006/relationships/table" Target="../tables/table86.xml"/><Relationship Id="rId11" Type="http://schemas.openxmlformats.org/officeDocument/2006/relationships/table" Target="../tables/table85.xml"/><Relationship Id="rId10" Type="http://schemas.openxmlformats.org/officeDocument/2006/relationships/table" Target="../tables/table84.xml"/><Relationship Id="rId1" Type="http://schemas.openxmlformats.org/officeDocument/2006/relationships/table" Target="../tables/table75.xml"/></Relationships>
</file>

<file path=xl/worksheets/_rels/sheet8.xml.rels><?xml version="1.0" encoding="UTF-8" standalone="yes"?>
<Relationships xmlns="http://schemas.openxmlformats.org/package/2006/relationships"><Relationship Id="rId9" Type="http://schemas.openxmlformats.org/officeDocument/2006/relationships/table" Target="../tables/table96.xml"/><Relationship Id="rId8" Type="http://schemas.openxmlformats.org/officeDocument/2006/relationships/table" Target="../tables/table95.xml"/><Relationship Id="rId7" Type="http://schemas.openxmlformats.org/officeDocument/2006/relationships/table" Target="../tables/table94.xml"/><Relationship Id="rId6" Type="http://schemas.openxmlformats.org/officeDocument/2006/relationships/table" Target="../tables/table93.xml"/><Relationship Id="rId5" Type="http://schemas.openxmlformats.org/officeDocument/2006/relationships/table" Target="../tables/table92.xml"/><Relationship Id="rId4" Type="http://schemas.openxmlformats.org/officeDocument/2006/relationships/table" Target="../tables/table91.xml"/><Relationship Id="rId3" Type="http://schemas.openxmlformats.org/officeDocument/2006/relationships/table" Target="../tables/table90.xml"/><Relationship Id="rId2" Type="http://schemas.openxmlformats.org/officeDocument/2006/relationships/table" Target="../tables/table89.xml"/><Relationship Id="rId13" Type="http://schemas.openxmlformats.org/officeDocument/2006/relationships/table" Target="../tables/table100.xml"/><Relationship Id="rId12" Type="http://schemas.openxmlformats.org/officeDocument/2006/relationships/table" Target="../tables/table99.xml"/><Relationship Id="rId11" Type="http://schemas.openxmlformats.org/officeDocument/2006/relationships/table" Target="../tables/table98.xml"/><Relationship Id="rId10" Type="http://schemas.openxmlformats.org/officeDocument/2006/relationships/table" Target="../tables/table97.xml"/><Relationship Id="rId1" Type="http://schemas.openxmlformats.org/officeDocument/2006/relationships/table" Target="../tables/table8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showGridLines="0" workbookViewId="0">
      <selection activeCell="A1" sqref="A1:K1"/>
    </sheetView>
  </sheetViews>
  <sheetFormatPr defaultColWidth="9" defaultRowHeight="15"/>
  <cols>
    <col min="1" max="1025" width="9" customWidth="1"/>
  </cols>
  <sheetData>
    <row r="1" spans="1:11">
      <c r="A1" s="315" t="s">
        <v>0</v>
      </c>
      <c r="B1" s="315"/>
      <c r="C1" s="315"/>
      <c r="D1" s="315"/>
      <c r="E1" s="315"/>
      <c r="F1" s="315"/>
      <c r="G1" s="315"/>
      <c r="H1" s="315"/>
      <c r="I1" s="315"/>
      <c r="J1" s="315"/>
      <c r="K1" s="315"/>
    </row>
    <row r="2" ht="57" customHeight="1" spans="1:11">
      <c r="A2" s="316" t="s">
        <v>1</v>
      </c>
      <c r="B2" s="316"/>
      <c r="C2" s="316"/>
      <c r="D2" s="316"/>
      <c r="E2" s="316"/>
      <c r="F2" s="316"/>
      <c r="G2" s="316"/>
      <c r="H2" s="316"/>
      <c r="I2" s="316"/>
      <c r="J2" s="316"/>
      <c r="K2" s="316"/>
    </row>
    <row r="3" ht="51" customHeight="1" spans="1:11">
      <c r="A3" s="316" t="s">
        <v>2</v>
      </c>
      <c r="B3" s="316"/>
      <c r="C3" s="316"/>
      <c r="D3" s="316"/>
      <c r="E3" s="316"/>
      <c r="F3" s="316"/>
      <c r="G3" s="316"/>
      <c r="H3" s="316"/>
      <c r="I3" s="316"/>
      <c r="J3" s="316"/>
      <c r="K3" s="316"/>
    </row>
    <row r="4" ht="54.75" customHeight="1" spans="1:11">
      <c r="A4" s="316" t="s">
        <v>3</v>
      </c>
      <c r="B4" s="316"/>
      <c r="C4" s="316"/>
      <c r="D4" s="316"/>
      <c r="E4" s="316"/>
      <c r="F4" s="316"/>
      <c r="G4" s="316"/>
      <c r="H4" s="316"/>
      <c r="I4" s="316"/>
      <c r="J4" s="316"/>
      <c r="K4" s="316"/>
    </row>
    <row r="5" ht="67.5" customHeight="1" spans="1:11">
      <c r="A5" s="317" t="s">
        <v>4</v>
      </c>
      <c r="B5" s="317"/>
      <c r="C5" s="317"/>
      <c r="D5" s="317"/>
      <c r="E5" s="317"/>
      <c r="F5" s="317"/>
      <c r="G5" s="317"/>
      <c r="H5" s="317"/>
      <c r="I5" s="317"/>
      <c r="J5" s="317"/>
      <c r="K5" s="317"/>
    </row>
    <row r="6" ht="84.75" customHeight="1" spans="1:11">
      <c r="A6" s="317" t="s">
        <v>5</v>
      </c>
      <c r="B6" s="317"/>
      <c r="C6" s="317"/>
      <c r="D6" s="317"/>
      <c r="E6" s="317"/>
      <c r="F6" s="317"/>
      <c r="G6" s="317"/>
      <c r="H6" s="317"/>
      <c r="I6" s="317"/>
      <c r="J6" s="317"/>
      <c r="K6" s="317"/>
    </row>
    <row r="7" ht="49.5" customHeight="1" spans="1:11">
      <c r="A7" s="317" t="s">
        <v>6</v>
      </c>
      <c r="B7" s="317"/>
      <c r="C7" s="317"/>
      <c r="D7" s="317"/>
      <c r="E7" s="317"/>
      <c r="F7" s="317"/>
      <c r="G7" s="317"/>
      <c r="H7" s="317"/>
      <c r="I7" s="317"/>
      <c r="J7" s="317"/>
      <c r="K7" s="317"/>
    </row>
    <row r="8" ht="38.25" customHeight="1" spans="1:11">
      <c r="A8" s="317" t="s">
        <v>7</v>
      </c>
      <c r="B8" s="317"/>
      <c r="C8" s="317"/>
      <c r="D8" s="317"/>
      <c r="E8" s="317"/>
      <c r="F8" s="317"/>
      <c r="G8" s="317"/>
      <c r="H8" s="317"/>
      <c r="I8" s="317"/>
      <c r="J8" s="317"/>
      <c r="K8" s="317"/>
    </row>
    <row r="9" ht="39.75" customHeight="1" spans="1:11">
      <c r="A9" s="316" t="s">
        <v>8</v>
      </c>
      <c r="B9" s="316"/>
      <c r="C9" s="316"/>
      <c r="D9" s="316"/>
      <c r="E9" s="316"/>
      <c r="F9" s="316"/>
      <c r="G9" s="316"/>
      <c r="H9" s="316"/>
      <c r="I9" s="316"/>
      <c r="J9" s="316"/>
      <c r="K9" s="316"/>
    </row>
    <row r="10" ht="41.25" customHeight="1" spans="1:11">
      <c r="A10" s="316" t="s">
        <v>9</v>
      </c>
      <c r="B10" s="316"/>
      <c r="C10" s="316"/>
      <c r="D10" s="316"/>
      <c r="E10" s="316"/>
      <c r="F10" s="316"/>
      <c r="G10" s="316"/>
      <c r="H10" s="316"/>
      <c r="I10" s="316"/>
      <c r="J10" s="316"/>
      <c r="K10" s="316"/>
    </row>
    <row r="11" ht="41.25" customHeight="1" spans="1:11">
      <c r="A11" s="318" t="s">
        <v>10</v>
      </c>
      <c r="B11" s="318"/>
      <c r="C11" s="318"/>
      <c r="D11" s="318"/>
      <c r="E11" s="318"/>
      <c r="F11" s="318"/>
      <c r="G11" s="318"/>
      <c r="H11" s="318"/>
      <c r="I11" s="318"/>
      <c r="J11" s="318"/>
      <c r="K11" s="318"/>
    </row>
    <row r="12" spans="1:11">
      <c r="A12" s="319" t="s">
        <v>11</v>
      </c>
      <c r="B12" s="319"/>
      <c r="C12" s="319"/>
      <c r="D12" s="319"/>
      <c r="E12" s="319"/>
      <c r="F12" s="319"/>
      <c r="G12" s="319"/>
      <c r="H12" s="319"/>
      <c r="I12" s="319"/>
      <c r="J12" s="319"/>
      <c r="K12" s="319"/>
    </row>
    <row r="13" spans="1:11">
      <c r="A13" s="320" t="s">
        <v>12</v>
      </c>
      <c r="B13" s="320"/>
      <c r="C13" s="320"/>
      <c r="D13" s="320"/>
      <c r="E13" s="320"/>
      <c r="F13" s="320"/>
      <c r="G13" s="320"/>
      <c r="H13" s="320"/>
      <c r="I13" s="320"/>
      <c r="J13" s="320"/>
      <c r="K13" s="320"/>
    </row>
    <row r="14" spans="1:11">
      <c r="A14" s="320" t="s">
        <v>13</v>
      </c>
      <c r="B14" s="320"/>
      <c r="C14" s="320"/>
      <c r="D14" s="320"/>
      <c r="E14" s="320"/>
      <c r="F14" s="320"/>
      <c r="G14" s="320"/>
      <c r="H14" s="320"/>
      <c r="I14" s="320"/>
      <c r="J14" s="320"/>
      <c r="K14" s="320"/>
    </row>
  </sheetData>
  <sheetProtection sheet="1" objects="1" scenarios="1"/>
  <mergeCells count="14">
    <mergeCell ref="A1:K1"/>
    <mergeCell ref="A2:K2"/>
    <mergeCell ref="A3:K3"/>
    <mergeCell ref="A4:K4"/>
    <mergeCell ref="A5:K5"/>
    <mergeCell ref="A6:K6"/>
    <mergeCell ref="A7:K7"/>
    <mergeCell ref="A8:K8"/>
    <mergeCell ref="A9:K9"/>
    <mergeCell ref="A10:K10"/>
    <mergeCell ref="A11:K11"/>
    <mergeCell ref="A12:K12"/>
    <mergeCell ref="A13:K13"/>
    <mergeCell ref="A14:K14"/>
  </mergeCells>
  <pageMargins left="0.7" right="0.7" top="0.75" bottom="0.75" header="0.511805555555555" footer="0.511805555555555"/>
  <pageSetup paperSize="9" firstPageNumber="0" orientation="portrait" useFirstPageNumber="1" horizontalDpi="300" verticalDpi="3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5"/>
  <sheetViews>
    <sheetView tabSelected="1" zoomScale="90" zoomScaleNormal="90" topLeftCell="A80" workbookViewId="0">
      <selection activeCell="F95" sqref="F95"/>
    </sheetView>
  </sheetViews>
  <sheetFormatPr defaultColWidth="9.14285714285714" defaultRowHeight="15" outlineLevelCol="7"/>
  <cols>
    <col min="2" max="2" width="13.1619047619048" style="70" customWidth="1"/>
    <col min="3" max="3" width="39.3619047619048" customWidth="1"/>
    <col min="4" max="4" width="13.9428571428571" style="71" customWidth="1"/>
    <col min="5" max="5" width="9.71428571428571" customWidth="1"/>
    <col min="6" max="6" width="15.9238095238095" customWidth="1"/>
    <col min="7" max="7" width="14.1904761904762" customWidth="1"/>
    <col min="8" max="8" width="13.3333333333333" customWidth="1"/>
  </cols>
  <sheetData>
    <row r="1" spans="1:8">
      <c r="A1" s="72" t="s">
        <v>276</v>
      </c>
      <c r="B1" s="73"/>
      <c r="C1" s="72"/>
      <c r="D1" s="74"/>
      <c r="E1" s="72"/>
      <c r="F1" s="72"/>
      <c r="G1" s="72"/>
      <c r="H1" s="72"/>
    </row>
    <row r="2" spans="1:8">
      <c r="A2" s="75" t="s">
        <v>277</v>
      </c>
      <c r="B2" s="76"/>
      <c r="C2" s="75"/>
      <c r="D2" s="77"/>
      <c r="E2" s="75"/>
      <c r="F2" s="75"/>
      <c r="G2" s="75"/>
      <c r="H2" s="75"/>
    </row>
    <row r="3" ht="60" spans="1:8">
      <c r="A3" s="78" t="s">
        <v>278</v>
      </c>
      <c r="B3" s="78" t="s">
        <v>279</v>
      </c>
      <c r="C3" s="78" t="s">
        <v>280</v>
      </c>
      <c r="D3" s="78" t="s">
        <v>281</v>
      </c>
      <c r="E3" s="78" t="s">
        <v>282</v>
      </c>
      <c r="F3" s="78" t="s">
        <v>283</v>
      </c>
      <c r="G3" s="78" t="s">
        <v>284</v>
      </c>
      <c r="H3" s="78" t="s">
        <v>285</v>
      </c>
    </row>
    <row r="4" ht="30" spans="1:8">
      <c r="A4" s="79">
        <v>1</v>
      </c>
      <c r="B4" s="16" t="s">
        <v>286</v>
      </c>
      <c r="C4" s="80" t="s">
        <v>287</v>
      </c>
      <c r="D4" s="16" t="s">
        <v>288</v>
      </c>
      <c r="E4" s="81">
        <v>62.9</v>
      </c>
      <c r="F4" s="16">
        <v>4</v>
      </c>
      <c r="G4" s="82">
        <f t="shared" ref="G4:G10" si="0">TRUNC(F4*E4,2)</f>
        <v>251.6</v>
      </c>
      <c r="H4" s="82">
        <f t="shared" ref="H4:H10" si="1">TRUNC(G4/12,2)</f>
        <v>20.96</v>
      </c>
    </row>
    <row r="5" ht="45" spans="1:8">
      <c r="A5" s="79">
        <v>2</v>
      </c>
      <c r="B5" s="16" t="s">
        <v>289</v>
      </c>
      <c r="C5" s="80" t="s">
        <v>290</v>
      </c>
      <c r="D5" s="16" t="s">
        <v>288</v>
      </c>
      <c r="E5" s="81">
        <v>145</v>
      </c>
      <c r="F5" s="16">
        <v>2</v>
      </c>
      <c r="G5" s="82">
        <f t="shared" si="0"/>
        <v>290</v>
      </c>
      <c r="H5" s="82">
        <f t="shared" si="1"/>
        <v>24.16</v>
      </c>
    </row>
    <row r="6" ht="60" spans="1:8">
      <c r="A6" s="79">
        <v>3</v>
      </c>
      <c r="B6" s="16" t="s">
        <v>291</v>
      </c>
      <c r="C6" s="80" t="s">
        <v>292</v>
      </c>
      <c r="D6" s="16" t="s">
        <v>288</v>
      </c>
      <c r="E6" s="81">
        <v>66.98</v>
      </c>
      <c r="F6" s="16">
        <v>4</v>
      </c>
      <c r="G6" s="82">
        <f t="shared" si="0"/>
        <v>267.92</v>
      </c>
      <c r="H6" s="82">
        <f t="shared" si="1"/>
        <v>22.32</v>
      </c>
    </row>
    <row r="7" ht="60" spans="1:8">
      <c r="A7" s="79">
        <v>4</v>
      </c>
      <c r="B7" s="16" t="s">
        <v>291</v>
      </c>
      <c r="C7" s="80" t="s">
        <v>293</v>
      </c>
      <c r="D7" s="16" t="s">
        <v>288</v>
      </c>
      <c r="E7" s="81">
        <v>24.99</v>
      </c>
      <c r="F7" s="16">
        <v>4</v>
      </c>
      <c r="G7" s="82">
        <f t="shared" si="0"/>
        <v>99.96</v>
      </c>
      <c r="H7" s="82">
        <f t="shared" si="1"/>
        <v>8.33</v>
      </c>
    </row>
    <row r="8" ht="30" spans="1:8">
      <c r="A8" s="79">
        <v>5</v>
      </c>
      <c r="B8" s="16" t="s">
        <v>294</v>
      </c>
      <c r="C8" s="80" t="s">
        <v>295</v>
      </c>
      <c r="D8" s="16" t="s">
        <v>296</v>
      </c>
      <c r="E8" s="81">
        <v>79.29</v>
      </c>
      <c r="F8" s="16">
        <v>2</v>
      </c>
      <c r="G8" s="82">
        <f t="shared" si="0"/>
        <v>158.58</v>
      </c>
      <c r="H8" s="82">
        <f t="shared" si="1"/>
        <v>13.21</v>
      </c>
    </row>
    <row r="9" ht="45" spans="1:8">
      <c r="A9" s="79">
        <v>6</v>
      </c>
      <c r="B9" s="16" t="s">
        <v>297</v>
      </c>
      <c r="C9" s="80" t="s">
        <v>298</v>
      </c>
      <c r="D9" s="16" t="s">
        <v>296</v>
      </c>
      <c r="E9" s="81">
        <v>8.82</v>
      </c>
      <c r="F9" s="16">
        <v>4</v>
      </c>
      <c r="G9" s="82">
        <f t="shared" si="0"/>
        <v>35.28</v>
      </c>
      <c r="H9" s="82">
        <f t="shared" si="1"/>
        <v>2.94</v>
      </c>
    </row>
    <row r="10" ht="45" spans="1:8">
      <c r="A10" s="79">
        <v>7</v>
      </c>
      <c r="B10" s="16" t="s">
        <v>299</v>
      </c>
      <c r="C10" s="80" t="s">
        <v>300</v>
      </c>
      <c r="D10" s="16" t="s">
        <v>288</v>
      </c>
      <c r="E10" s="81">
        <v>5.8</v>
      </c>
      <c r="F10" s="16">
        <v>1</v>
      </c>
      <c r="G10" s="82">
        <f t="shared" si="0"/>
        <v>5.8</v>
      </c>
      <c r="H10" s="82">
        <f t="shared" si="1"/>
        <v>0.48</v>
      </c>
    </row>
    <row r="11" spans="1:8">
      <c r="A11" s="18" t="s">
        <v>204</v>
      </c>
      <c r="B11" s="18"/>
      <c r="C11" s="18"/>
      <c r="D11" s="18"/>
      <c r="E11" s="18"/>
      <c r="F11" s="18"/>
      <c r="G11" s="19">
        <f>TRUNC(SUM(H4:H10),2)</f>
        <v>92.4</v>
      </c>
      <c r="H11" s="19"/>
    </row>
    <row r="13" spans="1:8">
      <c r="A13" s="72" t="s">
        <v>276</v>
      </c>
      <c r="B13" s="73"/>
      <c r="C13" s="72"/>
      <c r="D13" s="74"/>
      <c r="E13" s="72"/>
      <c r="F13" s="72"/>
      <c r="G13" s="72"/>
      <c r="H13" s="72"/>
    </row>
    <row r="14" spans="1:8">
      <c r="A14" s="75" t="s">
        <v>301</v>
      </c>
      <c r="B14" s="76"/>
      <c r="C14" s="75"/>
      <c r="D14" s="77"/>
      <c r="E14" s="75"/>
      <c r="F14" s="75"/>
      <c r="G14" s="75"/>
      <c r="H14" s="75"/>
    </row>
    <row r="15" ht="60" spans="1:8">
      <c r="A15" s="78" t="s">
        <v>278</v>
      </c>
      <c r="B15" s="78" t="s">
        <v>279</v>
      </c>
      <c r="C15" s="78" t="s">
        <v>280</v>
      </c>
      <c r="D15" s="78" t="s">
        <v>281</v>
      </c>
      <c r="E15" s="78" t="s">
        <v>282</v>
      </c>
      <c r="F15" s="78" t="s">
        <v>283</v>
      </c>
      <c r="G15" s="78" t="s">
        <v>284</v>
      </c>
      <c r="H15" s="78" t="s">
        <v>285</v>
      </c>
    </row>
    <row r="16" ht="30" spans="1:8">
      <c r="A16" s="79">
        <v>1</v>
      </c>
      <c r="B16" s="16" t="s">
        <v>286</v>
      </c>
      <c r="C16" s="80" t="s">
        <v>287</v>
      </c>
      <c r="D16" s="16" t="s">
        <v>288</v>
      </c>
      <c r="E16" s="81">
        <v>62.9</v>
      </c>
      <c r="F16" s="16">
        <v>4</v>
      </c>
      <c r="G16" s="82">
        <f t="shared" ref="G16:G22" si="2">TRUNC(F16*E16,2)</f>
        <v>251.6</v>
      </c>
      <c r="H16" s="82">
        <f t="shared" ref="H16:H22" si="3">TRUNC(G16/12,2)</f>
        <v>20.96</v>
      </c>
    </row>
    <row r="17" ht="45" spans="1:8">
      <c r="A17" s="79">
        <v>2</v>
      </c>
      <c r="B17" s="16" t="s">
        <v>289</v>
      </c>
      <c r="C17" s="80" t="s">
        <v>290</v>
      </c>
      <c r="D17" s="16" t="s">
        <v>288</v>
      </c>
      <c r="E17" s="81">
        <v>145</v>
      </c>
      <c r="F17" s="16">
        <v>2</v>
      </c>
      <c r="G17" s="82">
        <f t="shared" si="2"/>
        <v>290</v>
      </c>
      <c r="H17" s="82">
        <f t="shared" si="3"/>
        <v>24.16</v>
      </c>
    </row>
    <row r="18" ht="60" spans="1:8">
      <c r="A18" s="79">
        <v>3</v>
      </c>
      <c r="B18" s="16" t="s">
        <v>291</v>
      </c>
      <c r="C18" s="80" t="s">
        <v>292</v>
      </c>
      <c r="D18" s="16" t="s">
        <v>288</v>
      </c>
      <c r="E18" s="81">
        <v>66.98</v>
      </c>
      <c r="F18" s="16">
        <v>4</v>
      </c>
      <c r="G18" s="82">
        <f t="shared" si="2"/>
        <v>267.92</v>
      </c>
      <c r="H18" s="82">
        <f t="shared" si="3"/>
        <v>22.32</v>
      </c>
    </row>
    <row r="19" ht="60" spans="1:8">
      <c r="A19" s="79">
        <v>4</v>
      </c>
      <c r="B19" s="16" t="s">
        <v>291</v>
      </c>
      <c r="C19" s="80" t="s">
        <v>293</v>
      </c>
      <c r="D19" s="16" t="s">
        <v>288</v>
      </c>
      <c r="E19" s="81">
        <v>24.99</v>
      </c>
      <c r="F19" s="16">
        <v>4</v>
      </c>
      <c r="G19" s="82">
        <f t="shared" si="2"/>
        <v>99.96</v>
      </c>
      <c r="H19" s="82">
        <f t="shared" si="3"/>
        <v>8.33</v>
      </c>
    </row>
    <row r="20" ht="30" spans="1:8">
      <c r="A20" s="79">
        <v>5</v>
      </c>
      <c r="B20" s="16" t="s">
        <v>294</v>
      </c>
      <c r="C20" s="80" t="s">
        <v>295</v>
      </c>
      <c r="D20" s="16" t="s">
        <v>296</v>
      </c>
      <c r="E20" s="81">
        <v>79.29</v>
      </c>
      <c r="F20" s="16">
        <v>2</v>
      </c>
      <c r="G20" s="82">
        <f t="shared" si="2"/>
        <v>158.58</v>
      </c>
      <c r="H20" s="82">
        <f t="shared" si="3"/>
        <v>13.21</v>
      </c>
    </row>
    <row r="21" ht="45" spans="1:8">
      <c r="A21" s="79">
        <v>6</v>
      </c>
      <c r="B21" s="16" t="s">
        <v>297</v>
      </c>
      <c r="C21" s="80" t="s">
        <v>298</v>
      </c>
      <c r="D21" s="16" t="s">
        <v>296</v>
      </c>
      <c r="E21" s="81">
        <v>8.82</v>
      </c>
      <c r="F21" s="16">
        <v>4</v>
      </c>
      <c r="G21" s="82">
        <f t="shared" si="2"/>
        <v>35.28</v>
      </c>
      <c r="H21" s="82">
        <f t="shared" si="3"/>
        <v>2.94</v>
      </c>
    </row>
    <row r="22" ht="45" spans="1:8">
      <c r="A22" s="79">
        <v>7</v>
      </c>
      <c r="B22" s="16" t="s">
        <v>299</v>
      </c>
      <c r="C22" s="80" t="s">
        <v>300</v>
      </c>
      <c r="D22" s="16" t="s">
        <v>288</v>
      </c>
      <c r="E22" s="81">
        <v>5.8</v>
      </c>
      <c r="F22" s="16">
        <v>1</v>
      </c>
      <c r="G22" s="82">
        <f t="shared" si="2"/>
        <v>5.8</v>
      </c>
      <c r="H22" s="82">
        <f t="shared" si="3"/>
        <v>0.48</v>
      </c>
    </row>
    <row r="23" spans="1:8">
      <c r="A23" s="18" t="s">
        <v>204</v>
      </c>
      <c r="B23" s="18"/>
      <c r="C23" s="18"/>
      <c r="D23" s="18"/>
      <c r="E23" s="18"/>
      <c r="F23" s="18"/>
      <c r="G23" s="19">
        <f>TRUNC(SUM(H16:H22),2)</f>
        <v>92.4</v>
      </c>
      <c r="H23" s="19"/>
    </row>
    <row r="25" spans="1:8">
      <c r="A25" s="72" t="s">
        <v>276</v>
      </c>
      <c r="B25" s="73"/>
      <c r="C25" s="72"/>
      <c r="D25" s="74"/>
      <c r="E25" s="72"/>
      <c r="F25" s="72"/>
      <c r="G25" s="72"/>
      <c r="H25" s="72"/>
    </row>
    <row r="26" spans="1:8">
      <c r="A26" s="75" t="s">
        <v>302</v>
      </c>
      <c r="B26" s="76"/>
      <c r="C26" s="75"/>
      <c r="D26" s="77"/>
      <c r="E26" s="75"/>
      <c r="F26" s="75"/>
      <c r="G26" s="75"/>
      <c r="H26" s="75"/>
    </row>
    <row r="27" ht="60" spans="1:8">
      <c r="A27" s="78" t="s">
        <v>278</v>
      </c>
      <c r="B27" s="78" t="s">
        <v>279</v>
      </c>
      <c r="C27" s="78" t="s">
        <v>280</v>
      </c>
      <c r="D27" s="78" t="s">
        <v>281</v>
      </c>
      <c r="E27" s="78" t="s">
        <v>282</v>
      </c>
      <c r="F27" s="78" t="s">
        <v>283</v>
      </c>
      <c r="G27" s="78" t="s">
        <v>284</v>
      </c>
      <c r="H27" s="78" t="s">
        <v>285</v>
      </c>
    </row>
    <row r="28" ht="30" spans="1:8">
      <c r="A28" s="79">
        <v>1</v>
      </c>
      <c r="B28" s="16" t="s">
        <v>286</v>
      </c>
      <c r="C28" s="80" t="s">
        <v>287</v>
      </c>
      <c r="D28" s="16" t="s">
        <v>288</v>
      </c>
      <c r="E28" s="81">
        <v>62.9</v>
      </c>
      <c r="F28" s="16">
        <v>4</v>
      </c>
      <c r="G28" s="82">
        <f t="shared" ref="G28:G34" si="4">TRUNC(F28*E28,2)</f>
        <v>251.6</v>
      </c>
      <c r="H28" s="82">
        <f t="shared" ref="H28:H34" si="5">TRUNC(G28/12,2)</f>
        <v>20.96</v>
      </c>
    </row>
    <row r="29" ht="60" spans="1:8">
      <c r="A29" s="79">
        <v>2</v>
      </c>
      <c r="B29" s="16" t="s">
        <v>291</v>
      </c>
      <c r="C29" s="80" t="s">
        <v>292</v>
      </c>
      <c r="D29" s="16" t="s">
        <v>288</v>
      </c>
      <c r="E29" s="81">
        <v>66.98</v>
      </c>
      <c r="F29" s="16">
        <v>4</v>
      </c>
      <c r="G29" s="82">
        <f t="shared" si="4"/>
        <v>267.92</v>
      </c>
      <c r="H29" s="82">
        <f t="shared" si="5"/>
        <v>22.32</v>
      </c>
    </row>
    <row r="30" ht="60" spans="1:8">
      <c r="A30" s="79">
        <v>3</v>
      </c>
      <c r="B30" s="16" t="s">
        <v>291</v>
      </c>
      <c r="C30" s="80" t="s">
        <v>293</v>
      </c>
      <c r="D30" s="16" t="s">
        <v>288</v>
      </c>
      <c r="E30" s="81">
        <v>24.99</v>
      </c>
      <c r="F30" s="16">
        <v>4</v>
      </c>
      <c r="G30" s="82">
        <f t="shared" si="4"/>
        <v>99.96</v>
      </c>
      <c r="H30" s="82">
        <f t="shared" si="5"/>
        <v>8.33</v>
      </c>
    </row>
    <row r="31" ht="30" spans="1:8">
      <c r="A31" s="79">
        <v>4</v>
      </c>
      <c r="B31" s="16" t="s">
        <v>294</v>
      </c>
      <c r="C31" s="80" t="s">
        <v>295</v>
      </c>
      <c r="D31" s="16" t="s">
        <v>296</v>
      </c>
      <c r="E31" s="81">
        <v>79.29</v>
      </c>
      <c r="F31" s="16">
        <v>2</v>
      </c>
      <c r="G31" s="82">
        <f t="shared" si="4"/>
        <v>158.58</v>
      </c>
      <c r="H31" s="82">
        <f t="shared" si="5"/>
        <v>13.21</v>
      </c>
    </row>
    <row r="32" ht="45" spans="1:8">
      <c r="A32" s="79">
        <v>5</v>
      </c>
      <c r="B32" s="16" t="s">
        <v>297</v>
      </c>
      <c r="C32" s="80" t="s">
        <v>298</v>
      </c>
      <c r="D32" s="16" t="s">
        <v>296</v>
      </c>
      <c r="E32" s="81">
        <v>8.82</v>
      </c>
      <c r="F32" s="16">
        <v>4</v>
      </c>
      <c r="G32" s="82">
        <f t="shared" si="4"/>
        <v>35.28</v>
      </c>
      <c r="H32" s="82">
        <f t="shared" si="5"/>
        <v>2.94</v>
      </c>
    </row>
    <row r="33" ht="30" spans="1:8">
      <c r="A33" s="79">
        <v>6</v>
      </c>
      <c r="B33" s="16" t="s">
        <v>303</v>
      </c>
      <c r="C33" s="83" t="s">
        <v>304</v>
      </c>
      <c r="D33" s="16" t="s">
        <v>288</v>
      </c>
      <c r="E33" s="81">
        <v>20.23</v>
      </c>
      <c r="F33" s="16">
        <v>2</v>
      </c>
      <c r="G33" s="82">
        <f t="shared" si="4"/>
        <v>40.46</v>
      </c>
      <c r="H33" s="82">
        <f t="shared" si="5"/>
        <v>3.37</v>
      </c>
    </row>
    <row r="34" ht="45" spans="1:8">
      <c r="A34" s="79">
        <v>7</v>
      </c>
      <c r="B34" s="16" t="s">
        <v>299</v>
      </c>
      <c r="C34" s="80" t="s">
        <v>300</v>
      </c>
      <c r="D34" s="16" t="s">
        <v>288</v>
      </c>
      <c r="E34" s="81">
        <v>5.8</v>
      </c>
      <c r="F34" s="16">
        <v>1</v>
      </c>
      <c r="G34" s="82">
        <f t="shared" si="4"/>
        <v>5.8</v>
      </c>
      <c r="H34" s="82">
        <f t="shared" si="5"/>
        <v>0.48</v>
      </c>
    </row>
    <row r="35" spans="1:8">
      <c r="A35" s="18" t="s">
        <v>204</v>
      </c>
      <c r="B35" s="18"/>
      <c r="C35" s="18"/>
      <c r="D35" s="18"/>
      <c r="E35" s="18"/>
      <c r="F35" s="18"/>
      <c r="G35" s="19">
        <f>TRUNC(SUM(H28:H34),2)</f>
        <v>71.61</v>
      </c>
      <c r="H35" s="19"/>
    </row>
    <row r="37" spans="1:8">
      <c r="A37" s="72" t="s">
        <v>276</v>
      </c>
      <c r="B37" s="73"/>
      <c r="C37" s="72"/>
      <c r="D37" s="74"/>
      <c r="E37" s="72"/>
      <c r="F37" s="72"/>
      <c r="G37" s="72"/>
      <c r="H37" s="72"/>
    </row>
    <row r="38" spans="1:8">
      <c r="A38" s="75" t="s">
        <v>305</v>
      </c>
      <c r="B38" s="76"/>
      <c r="C38" s="75"/>
      <c r="D38" s="77"/>
      <c r="E38" s="75"/>
      <c r="F38" s="75"/>
      <c r="G38" s="75"/>
      <c r="H38" s="75"/>
    </row>
    <row r="39" ht="60" spans="1:8">
      <c r="A39" s="78" t="s">
        <v>278</v>
      </c>
      <c r="B39" s="78" t="s">
        <v>279</v>
      </c>
      <c r="C39" s="78" t="s">
        <v>280</v>
      </c>
      <c r="D39" s="78" t="s">
        <v>281</v>
      </c>
      <c r="E39" s="78" t="s">
        <v>282</v>
      </c>
      <c r="F39" s="78" t="s">
        <v>283</v>
      </c>
      <c r="G39" s="78" t="s">
        <v>284</v>
      </c>
      <c r="H39" s="78" t="s">
        <v>285</v>
      </c>
    </row>
    <row r="40" ht="30" spans="1:8">
      <c r="A40" s="79">
        <v>1</v>
      </c>
      <c r="B40" s="16" t="s">
        <v>286</v>
      </c>
      <c r="C40" s="80" t="s">
        <v>306</v>
      </c>
      <c r="D40" s="16" t="s">
        <v>288</v>
      </c>
      <c r="E40" s="81">
        <v>62.9</v>
      </c>
      <c r="F40" s="16">
        <v>4</v>
      </c>
      <c r="G40" s="82">
        <f t="shared" ref="G40:G46" si="6">TRUNC(F40*E40,2)</f>
        <v>251.6</v>
      </c>
      <c r="H40" s="82">
        <f t="shared" ref="H40:H46" si="7">TRUNC(G40/12,2)</f>
        <v>20.96</v>
      </c>
    </row>
    <row r="41" ht="60" spans="1:8">
      <c r="A41" s="79">
        <v>2</v>
      </c>
      <c r="B41" s="16" t="s">
        <v>291</v>
      </c>
      <c r="C41" s="80" t="s">
        <v>292</v>
      </c>
      <c r="D41" s="16" t="s">
        <v>288</v>
      </c>
      <c r="E41" s="81">
        <v>66.98</v>
      </c>
      <c r="F41" s="16">
        <v>4</v>
      </c>
      <c r="G41" s="82">
        <f t="shared" si="6"/>
        <v>267.92</v>
      </c>
      <c r="H41" s="82">
        <f t="shared" si="7"/>
        <v>22.32</v>
      </c>
    </row>
    <row r="42" ht="60" spans="1:8">
      <c r="A42" s="79">
        <v>3</v>
      </c>
      <c r="B42" s="16" t="s">
        <v>291</v>
      </c>
      <c r="C42" s="80" t="s">
        <v>293</v>
      </c>
      <c r="D42" s="16" t="s">
        <v>288</v>
      </c>
      <c r="E42" s="81">
        <v>24.99</v>
      </c>
      <c r="F42" s="16">
        <v>4</v>
      </c>
      <c r="G42" s="82">
        <f t="shared" si="6"/>
        <v>99.96</v>
      </c>
      <c r="H42" s="82">
        <f t="shared" si="7"/>
        <v>8.33</v>
      </c>
    </row>
    <row r="43" ht="90" spans="1:8">
      <c r="A43" s="79">
        <v>4</v>
      </c>
      <c r="B43" s="84" t="s">
        <v>307</v>
      </c>
      <c r="C43" s="80" t="s">
        <v>308</v>
      </c>
      <c r="D43" s="16" t="s">
        <v>296</v>
      </c>
      <c r="E43" s="81">
        <v>23.36</v>
      </c>
      <c r="F43" s="16">
        <v>2</v>
      </c>
      <c r="G43" s="82">
        <f t="shared" si="6"/>
        <v>46.72</v>
      </c>
      <c r="H43" s="82">
        <f t="shared" si="7"/>
        <v>3.89</v>
      </c>
    </row>
    <row r="44" ht="30" spans="1:8">
      <c r="A44" s="79">
        <v>5</v>
      </c>
      <c r="B44" s="16" t="s">
        <v>294</v>
      </c>
      <c r="C44" s="80" t="s">
        <v>295</v>
      </c>
      <c r="D44" s="16" t="s">
        <v>296</v>
      </c>
      <c r="E44" s="81">
        <v>79.29</v>
      </c>
      <c r="F44" s="16">
        <v>2</v>
      </c>
      <c r="G44" s="82">
        <f t="shared" si="6"/>
        <v>158.58</v>
      </c>
      <c r="H44" s="82">
        <f t="shared" si="7"/>
        <v>13.21</v>
      </c>
    </row>
    <row r="45" ht="45" spans="1:8">
      <c r="A45" s="79">
        <v>6</v>
      </c>
      <c r="B45" s="16" t="s">
        <v>297</v>
      </c>
      <c r="C45" s="80" t="s">
        <v>298</v>
      </c>
      <c r="D45" s="16" t="s">
        <v>296</v>
      </c>
      <c r="E45" s="81">
        <v>8.82</v>
      </c>
      <c r="F45" s="16">
        <v>4</v>
      </c>
      <c r="G45" s="82">
        <f t="shared" si="6"/>
        <v>35.28</v>
      </c>
      <c r="H45" s="82">
        <f t="shared" si="7"/>
        <v>2.94</v>
      </c>
    </row>
    <row r="46" ht="45" spans="1:8">
      <c r="A46" s="79">
        <v>7</v>
      </c>
      <c r="B46" s="16" t="s">
        <v>299</v>
      </c>
      <c r="C46" s="80" t="s">
        <v>300</v>
      </c>
      <c r="D46" s="16" t="s">
        <v>288</v>
      </c>
      <c r="E46" s="81">
        <v>5.8</v>
      </c>
      <c r="F46" s="16">
        <v>1</v>
      </c>
      <c r="G46" s="82">
        <f t="shared" si="6"/>
        <v>5.8</v>
      </c>
      <c r="H46" s="82">
        <f t="shared" si="7"/>
        <v>0.48</v>
      </c>
    </row>
    <row r="47" spans="1:8">
      <c r="A47" s="18" t="s">
        <v>204</v>
      </c>
      <c r="B47" s="18"/>
      <c r="C47" s="18"/>
      <c r="D47" s="18"/>
      <c r="E47" s="18"/>
      <c r="F47" s="18"/>
      <c r="G47" s="19">
        <f>TRUNC(SUM(H40:H46),2)</f>
        <v>72.13</v>
      </c>
      <c r="H47" s="19"/>
    </row>
    <row r="50" spans="1:8">
      <c r="A50" s="72" t="s">
        <v>309</v>
      </c>
      <c r="B50" s="73"/>
      <c r="C50" s="72"/>
      <c r="D50" s="74"/>
      <c r="E50" s="72"/>
      <c r="F50" s="72"/>
      <c r="G50" s="72"/>
      <c r="H50" s="72"/>
    </row>
    <row r="51" spans="1:8">
      <c r="A51" s="75" t="s">
        <v>310</v>
      </c>
      <c r="B51" s="76"/>
      <c r="C51" s="75"/>
      <c r="D51" s="77"/>
      <c r="E51" s="75"/>
      <c r="F51" s="75"/>
      <c r="G51" s="75"/>
      <c r="H51" s="75"/>
    </row>
    <row r="52" ht="60" spans="1:8">
      <c r="A52" s="78" t="s">
        <v>278</v>
      </c>
      <c r="B52" s="78" t="s">
        <v>279</v>
      </c>
      <c r="C52" s="78" t="s">
        <v>280</v>
      </c>
      <c r="D52" s="78" t="s">
        <v>281</v>
      </c>
      <c r="E52" s="78" t="s">
        <v>282</v>
      </c>
      <c r="F52" s="78" t="s">
        <v>283</v>
      </c>
      <c r="G52" s="78" t="s">
        <v>284</v>
      </c>
      <c r="H52" s="78" t="s">
        <v>285</v>
      </c>
    </row>
    <row r="53" ht="75" spans="1:8">
      <c r="A53" s="79">
        <v>1</v>
      </c>
      <c r="B53" s="16" t="s">
        <v>286</v>
      </c>
      <c r="C53" s="83" t="s">
        <v>311</v>
      </c>
      <c r="D53" s="16" t="s">
        <v>288</v>
      </c>
      <c r="E53" s="81">
        <v>131.61</v>
      </c>
      <c r="F53" s="16">
        <v>4</v>
      </c>
      <c r="G53" s="82">
        <f>TRUNC(F53*E53,2)</f>
        <v>526.44</v>
      </c>
      <c r="H53" s="82">
        <f>TRUNC(G53/12,2)</f>
        <v>43.87</v>
      </c>
    </row>
    <row r="54" ht="90" spans="1:8">
      <c r="A54" s="79">
        <v>2</v>
      </c>
      <c r="B54" s="16" t="s">
        <v>291</v>
      </c>
      <c r="C54" s="83" t="s">
        <v>312</v>
      </c>
      <c r="D54" s="16" t="s">
        <v>288</v>
      </c>
      <c r="E54" s="81">
        <v>138.74</v>
      </c>
      <c r="F54" s="16">
        <v>4</v>
      </c>
      <c r="G54" s="82">
        <f t="shared" ref="G54:G68" si="8">TRUNC(F54*E54,2)</f>
        <v>554.96</v>
      </c>
      <c r="H54" s="82">
        <f t="shared" ref="H54:H68" si="9">TRUNC(G54/12,2)</f>
        <v>46.24</v>
      </c>
    </row>
    <row r="55" ht="60" spans="1:8">
      <c r="A55" s="79">
        <v>3</v>
      </c>
      <c r="B55" s="16" t="s">
        <v>291</v>
      </c>
      <c r="C55" s="85" t="s">
        <v>293</v>
      </c>
      <c r="D55" s="16" t="s">
        <v>288</v>
      </c>
      <c r="E55" s="81">
        <v>24.99</v>
      </c>
      <c r="F55" s="16">
        <v>4</v>
      </c>
      <c r="G55" s="82">
        <f t="shared" si="8"/>
        <v>99.96</v>
      </c>
      <c r="H55" s="82">
        <f t="shared" si="9"/>
        <v>8.33</v>
      </c>
    </row>
    <row r="56" ht="30" spans="1:8">
      <c r="A56" s="79">
        <v>4</v>
      </c>
      <c r="B56" s="84" t="s">
        <v>313</v>
      </c>
      <c r="C56" s="83" t="s">
        <v>314</v>
      </c>
      <c r="D56" s="16" t="s">
        <v>288</v>
      </c>
      <c r="E56" s="81">
        <v>11.23</v>
      </c>
      <c r="F56" s="16">
        <v>2</v>
      </c>
      <c r="G56" s="82">
        <f t="shared" si="8"/>
        <v>22.46</v>
      </c>
      <c r="H56" s="82">
        <f t="shared" si="9"/>
        <v>1.87</v>
      </c>
    </row>
    <row r="57" ht="90" spans="1:8">
      <c r="A57" s="79">
        <v>5</v>
      </c>
      <c r="B57" s="84" t="s">
        <v>307</v>
      </c>
      <c r="C57" s="83" t="s">
        <v>308</v>
      </c>
      <c r="D57" s="16" t="s">
        <v>296</v>
      </c>
      <c r="E57" s="81">
        <v>23.36</v>
      </c>
      <c r="F57" s="16">
        <v>2</v>
      </c>
      <c r="G57" s="82">
        <f t="shared" si="8"/>
        <v>46.72</v>
      </c>
      <c r="H57" s="82">
        <f t="shared" si="9"/>
        <v>3.89</v>
      </c>
    </row>
    <row r="58" ht="105" spans="1:8">
      <c r="A58" s="79">
        <v>6</v>
      </c>
      <c r="B58" s="16" t="s">
        <v>294</v>
      </c>
      <c r="C58" s="83" t="s">
        <v>315</v>
      </c>
      <c r="D58" s="16" t="s">
        <v>296</v>
      </c>
      <c r="E58" s="81">
        <v>89.5</v>
      </c>
      <c r="F58" s="16">
        <v>2</v>
      </c>
      <c r="G58" s="82">
        <f t="shared" si="8"/>
        <v>179</v>
      </c>
      <c r="H58" s="82">
        <f t="shared" si="9"/>
        <v>14.91</v>
      </c>
    </row>
    <row r="59" ht="45" spans="1:8">
      <c r="A59" s="79">
        <v>7</v>
      </c>
      <c r="B59" s="16" t="s">
        <v>297</v>
      </c>
      <c r="C59" s="83" t="s">
        <v>298</v>
      </c>
      <c r="D59" s="16" t="s">
        <v>296</v>
      </c>
      <c r="E59" s="81">
        <v>8.82</v>
      </c>
      <c r="F59" s="16">
        <v>4</v>
      </c>
      <c r="G59" s="82">
        <f t="shared" si="8"/>
        <v>35.28</v>
      </c>
      <c r="H59" s="82">
        <f t="shared" si="9"/>
        <v>2.94</v>
      </c>
    </row>
    <row r="60" ht="45" spans="1:8">
      <c r="A60" s="79">
        <v>8</v>
      </c>
      <c r="B60" s="16" t="s">
        <v>299</v>
      </c>
      <c r="C60" s="83" t="s">
        <v>300</v>
      </c>
      <c r="D60" s="16" t="s">
        <v>288</v>
      </c>
      <c r="E60" s="81">
        <v>5.8</v>
      </c>
      <c r="F60" s="16">
        <v>1</v>
      </c>
      <c r="G60" s="82">
        <f t="shared" si="8"/>
        <v>5.8</v>
      </c>
      <c r="H60" s="82">
        <f t="shared" si="9"/>
        <v>0.48</v>
      </c>
    </row>
    <row r="61" ht="120" spans="1:8">
      <c r="A61" s="79">
        <v>9</v>
      </c>
      <c r="B61" s="16" t="s">
        <v>316</v>
      </c>
      <c r="C61" s="83" t="s">
        <v>317</v>
      </c>
      <c r="D61" s="16" t="s">
        <v>288</v>
      </c>
      <c r="E61" s="81">
        <v>16.2</v>
      </c>
      <c r="F61" s="16">
        <v>1</v>
      </c>
      <c r="G61" s="82">
        <f t="shared" si="8"/>
        <v>16.2</v>
      </c>
      <c r="H61" s="82">
        <f t="shared" si="9"/>
        <v>1.35</v>
      </c>
    </row>
    <row r="62" ht="60" spans="1:8">
      <c r="A62" s="79">
        <v>10</v>
      </c>
      <c r="B62" s="16" t="s">
        <v>318</v>
      </c>
      <c r="C62" s="83" t="s">
        <v>319</v>
      </c>
      <c r="D62" s="16" t="s">
        <v>320</v>
      </c>
      <c r="E62" s="81">
        <v>222.4</v>
      </c>
      <c r="F62" s="16">
        <v>1</v>
      </c>
      <c r="G62" s="82">
        <f t="shared" si="8"/>
        <v>222.4</v>
      </c>
      <c r="H62" s="82">
        <f t="shared" si="9"/>
        <v>18.53</v>
      </c>
    </row>
    <row r="63" ht="45" spans="1:8">
      <c r="A63" s="79">
        <v>11</v>
      </c>
      <c r="B63" s="16" t="s">
        <v>321</v>
      </c>
      <c r="C63" s="83" t="s">
        <v>322</v>
      </c>
      <c r="D63" s="16" t="s">
        <v>296</v>
      </c>
      <c r="E63" s="81">
        <v>497.03</v>
      </c>
      <c r="F63" s="16">
        <v>1</v>
      </c>
      <c r="G63" s="82">
        <f t="shared" si="8"/>
        <v>497.03</v>
      </c>
      <c r="H63" s="82">
        <f t="shared" si="9"/>
        <v>41.41</v>
      </c>
    </row>
    <row r="64" ht="60" spans="1:8">
      <c r="A64" s="79">
        <v>12</v>
      </c>
      <c r="B64" s="16" t="s">
        <v>321</v>
      </c>
      <c r="C64" s="83" t="s">
        <v>323</v>
      </c>
      <c r="D64" s="16" t="s">
        <v>296</v>
      </c>
      <c r="E64" s="81">
        <v>3.8</v>
      </c>
      <c r="F64" s="16">
        <v>6</v>
      </c>
      <c r="G64" s="82">
        <f t="shared" si="8"/>
        <v>22.8</v>
      </c>
      <c r="H64" s="82">
        <f t="shared" si="9"/>
        <v>1.9</v>
      </c>
    </row>
    <row r="65" ht="75" spans="1:8">
      <c r="A65" s="79">
        <v>13</v>
      </c>
      <c r="B65" s="16" t="s">
        <v>324</v>
      </c>
      <c r="C65" s="83" t="s">
        <v>325</v>
      </c>
      <c r="D65" s="16" t="s">
        <v>288</v>
      </c>
      <c r="E65" s="81">
        <v>7</v>
      </c>
      <c r="F65" s="16">
        <v>2</v>
      </c>
      <c r="G65" s="82">
        <f t="shared" si="8"/>
        <v>14</v>
      </c>
      <c r="H65" s="82">
        <f t="shared" si="9"/>
        <v>1.16</v>
      </c>
    </row>
    <row r="66" ht="45" spans="1:8">
      <c r="A66" s="79">
        <v>14</v>
      </c>
      <c r="B66" s="16" t="s">
        <v>326</v>
      </c>
      <c r="C66" s="83" t="s">
        <v>327</v>
      </c>
      <c r="D66" s="16" t="s">
        <v>288</v>
      </c>
      <c r="E66" s="81">
        <v>1.57</v>
      </c>
      <c r="F66" s="16">
        <v>4</v>
      </c>
      <c r="G66" s="82">
        <f t="shared" si="8"/>
        <v>6.28</v>
      </c>
      <c r="H66" s="82">
        <f t="shared" si="9"/>
        <v>0.52</v>
      </c>
    </row>
    <row r="67" ht="30" spans="1:8">
      <c r="A67" s="79">
        <v>15</v>
      </c>
      <c r="B67" s="16" t="s">
        <v>328</v>
      </c>
      <c r="C67" s="83" t="s">
        <v>329</v>
      </c>
      <c r="D67" s="16" t="s">
        <v>288</v>
      </c>
      <c r="E67" s="81">
        <v>28</v>
      </c>
      <c r="F67" s="16">
        <v>4</v>
      </c>
      <c r="G67" s="82">
        <f t="shared" si="8"/>
        <v>112</v>
      </c>
      <c r="H67" s="82">
        <f t="shared" si="9"/>
        <v>9.33</v>
      </c>
    </row>
    <row r="68" ht="105" spans="1:8">
      <c r="A68" s="79">
        <v>16</v>
      </c>
      <c r="B68" s="16" t="s">
        <v>330</v>
      </c>
      <c r="C68" s="83" t="s">
        <v>331</v>
      </c>
      <c r="D68" s="16" t="s">
        <v>288</v>
      </c>
      <c r="E68" s="81">
        <v>3.55</v>
      </c>
      <c r="F68" s="16">
        <v>12</v>
      </c>
      <c r="G68" s="82">
        <f t="shared" si="8"/>
        <v>42.6</v>
      </c>
      <c r="H68" s="82">
        <f t="shared" si="9"/>
        <v>3.55</v>
      </c>
    </row>
    <row r="69" spans="1:8">
      <c r="A69" s="18" t="s">
        <v>204</v>
      </c>
      <c r="B69" s="18"/>
      <c r="C69" s="18"/>
      <c r="D69" s="18"/>
      <c r="E69" s="18"/>
      <c r="F69" s="18"/>
      <c r="G69" s="19">
        <f>TRUNC(SUM(H53:H68),2)</f>
        <v>200.28</v>
      </c>
      <c r="H69" s="19"/>
    </row>
    <row r="71" spans="1:8">
      <c r="A71" s="86"/>
      <c r="B71" s="87"/>
      <c r="C71" s="86"/>
      <c r="D71" s="88"/>
      <c r="E71" s="86"/>
      <c r="F71" s="86"/>
      <c r="G71" s="86"/>
      <c r="H71" s="86"/>
    </row>
    <row r="72" spans="1:8">
      <c r="A72" s="89" t="s">
        <v>309</v>
      </c>
      <c r="B72" s="90"/>
      <c r="C72" s="89"/>
      <c r="D72" s="91"/>
      <c r="E72" s="89"/>
      <c r="F72" s="89"/>
      <c r="G72" s="89"/>
      <c r="H72" s="89"/>
    </row>
    <row r="73" spans="1:8">
      <c r="A73" s="75" t="s">
        <v>332</v>
      </c>
      <c r="B73" s="76"/>
      <c r="C73" s="75"/>
      <c r="D73" s="77"/>
      <c r="E73" s="75"/>
      <c r="F73" s="75"/>
      <c r="G73" s="75"/>
      <c r="H73" s="75"/>
    </row>
    <row r="74" ht="60" spans="1:8">
      <c r="A74" s="92" t="s">
        <v>278</v>
      </c>
      <c r="B74" s="92" t="s">
        <v>279</v>
      </c>
      <c r="C74" s="92" t="s">
        <v>280</v>
      </c>
      <c r="D74" s="92" t="s">
        <v>281</v>
      </c>
      <c r="E74" s="92" t="s">
        <v>282</v>
      </c>
      <c r="F74" s="92" t="s">
        <v>283</v>
      </c>
      <c r="G74" s="92" t="s">
        <v>284</v>
      </c>
      <c r="H74" s="92" t="s">
        <v>285</v>
      </c>
    </row>
    <row r="75" ht="60" spans="1:8">
      <c r="A75" s="79">
        <v>1</v>
      </c>
      <c r="B75" s="16" t="s">
        <v>286</v>
      </c>
      <c r="C75" s="80" t="s">
        <v>333</v>
      </c>
      <c r="D75" s="16" t="s">
        <v>288</v>
      </c>
      <c r="E75" s="81">
        <v>52.53</v>
      </c>
      <c r="F75" s="16">
        <v>4</v>
      </c>
      <c r="G75" s="82">
        <f>TRUNC(F75*E75,2)</f>
        <v>210.12</v>
      </c>
      <c r="H75" s="82">
        <f>TRUNC(G75/12,2)</f>
        <v>17.51</v>
      </c>
    </row>
    <row r="76" ht="60" spans="1:8">
      <c r="A76" s="79">
        <v>2</v>
      </c>
      <c r="B76" s="16" t="s">
        <v>291</v>
      </c>
      <c r="C76" s="80" t="s">
        <v>334</v>
      </c>
      <c r="D76" s="16" t="s">
        <v>288</v>
      </c>
      <c r="E76" s="81">
        <v>45.6</v>
      </c>
      <c r="F76" s="16">
        <v>4</v>
      </c>
      <c r="G76" s="82">
        <f t="shared" ref="G76:G90" si="10">TRUNC(F76*E76,2)</f>
        <v>182.4</v>
      </c>
      <c r="H76" s="82">
        <f t="shared" ref="H76:H90" si="11">TRUNC(G76/12,2)</f>
        <v>15.2</v>
      </c>
    </row>
    <row r="77" ht="60" spans="1:8">
      <c r="A77" s="79">
        <v>3</v>
      </c>
      <c r="B77" s="16" t="s">
        <v>291</v>
      </c>
      <c r="C77" s="80" t="s">
        <v>293</v>
      </c>
      <c r="D77" s="16" t="s">
        <v>288</v>
      </c>
      <c r="E77" s="81">
        <v>24.99</v>
      </c>
      <c r="F77" s="16">
        <v>4</v>
      </c>
      <c r="G77" s="82">
        <f t="shared" si="10"/>
        <v>99.96</v>
      </c>
      <c r="H77" s="82">
        <f t="shared" si="11"/>
        <v>8.33</v>
      </c>
    </row>
    <row r="78" ht="30" spans="1:8">
      <c r="A78" s="79">
        <v>4</v>
      </c>
      <c r="B78" s="84" t="s">
        <v>313</v>
      </c>
      <c r="C78" s="80" t="s">
        <v>314</v>
      </c>
      <c r="D78" s="16" t="s">
        <v>288</v>
      </c>
      <c r="E78" s="81">
        <v>11.23</v>
      </c>
      <c r="F78" s="16">
        <v>2</v>
      </c>
      <c r="G78" s="82">
        <f t="shared" si="10"/>
        <v>22.46</v>
      </c>
      <c r="H78" s="82">
        <f t="shared" si="11"/>
        <v>1.87</v>
      </c>
    </row>
    <row r="79" ht="90" spans="1:8">
      <c r="A79" s="79">
        <v>5</v>
      </c>
      <c r="B79" s="84" t="s">
        <v>307</v>
      </c>
      <c r="C79" s="80" t="s">
        <v>308</v>
      </c>
      <c r="D79" s="16" t="s">
        <v>296</v>
      </c>
      <c r="E79" s="81">
        <v>23.36</v>
      </c>
      <c r="F79" s="16">
        <v>2</v>
      </c>
      <c r="G79" s="82">
        <f t="shared" si="10"/>
        <v>46.72</v>
      </c>
      <c r="H79" s="82">
        <f t="shared" si="11"/>
        <v>3.89</v>
      </c>
    </row>
    <row r="80" ht="60" spans="1:8">
      <c r="A80" s="79">
        <v>6</v>
      </c>
      <c r="B80" s="16" t="s">
        <v>294</v>
      </c>
      <c r="C80" s="80" t="s">
        <v>335</v>
      </c>
      <c r="D80" s="16" t="s">
        <v>296</v>
      </c>
      <c r="E80" s="81">
        <v>55.76</v>
      </c>
      <c r="F80" s="16">
        <v>2</v>
      </c>
      <c r="G80" s="82">
        <f t="shared" si="10"/>
        <v>111.52</v>
      </c>
      <c r="H80" s="82">
        <f t="shared" si="11"/>
        <v>9.29</v>
      </c>
    </row>
    <row r="81" ht="105" spans="1:8">
      <c r="A81" s="79">
        <v>7</v>
      </c>
      <c r="B81" s="16" t="s">
        <v>294</v>
      </c>
      <c r="C81" s="80" t="s">
        <v>336</v>
      </c>
      <c r="D81" s="16" t="s">
        <v>296</v>
      </c>
      <c r="E81" s="81">
        <v>35.16</v>
      </c>
      <c r="F81" s="16">
        <v>1</v>
      </c>
      <c r="G81" s="82">
        <f t="shared" si="10"/>
        <v>35.16</v>
      </c>
      <c r="H81" s="82">
        <f t="shared" si="11"/>
        <v>2.93</v>
      </c>
    </row>
    <row r="82" ht="45" spans="1:8">
      <c r="A82" s="79">
        <v>8</v>
      </c>
      <c r="B82" s="16" t="s">
        <v>297</v>
      </c>
      <c r="C82" s="80" t="s">
        <v>298</v>
      </c>
      <c r="D82" s="16" t="s">
        <v>296</v>
      </c>
      <c r="E82" s="81">
        <v>8.82</v>
      </c>
      <c r="F82" s="16">
        <v>4</v>
      </c>
      <c r="G82" s="82">
        <f t="shared" si="10"/>
        <v>35.28</v>
      </c>
      <c r="H82" s="82">
        <f t="shared" si="11"/>
        <v>2.94</v>
      </c>
    </row>
    <row r="83" ht="45" spans="1:8">
      <c r="A83" s="79">
        <v>9</v>
      </c>
      <c r="B83" s="16" t="s">
        <v>299</v>
      </c>
      <c r="C83" s="80" t="s">
        <v>300</v>
      </c>
      <c r="D83" s="16" t="s">
        <v>288</v>
      </c>
      <c r="E83" s="81">
        <v>5.8</v>
      </c>
      <c r="F83" s="16">
        <v>1</v>
      </c>
      <c r="G83" s="82">
        <f t="shared" si="10"/>
        <v>5.8</v>
      </c>
      <c r="H83" s="82">
        <f t="shared" si="11"/>
        <v>0.48</v>
      </c>
    </row>
    <row r="84" ht="60" spans="1:8">
      <c r="A84" s="79">
        <v>10</v>
      </c>
      <c r="B84" s="16" t="s">
        <v>316</v>
      </c>
      <c r="C84" s="80" t="s">
        <v>337</v>
      </c>
      <c r="D84" s="16" t="s">
        <v>288</v>
      </c>
      <c r="E84" s="81">
        <v>36.92</v>
      </c>
      <c r="F84" s="16">
        <v>1</v>
      </c>
      <c r="G84" s="82">
        <f t="shared" si="10"/>
        <v>36.92</v>
      </c>
      <c r="H84" s="82">
        <f t="shared" si="11"/>
        <v>3.07</v>
      </c>
    </row>
    <row r="85" ht="60" spans="1:8">
      <c r="A85" s="79">
        <v>11</v>
      </c>
      <c r="B85" s="16" t="s">
        <v>318</v>
      </c>
      <c r="C85" s="80" t="s">
        <v>319</v>
      </c>
      <c r="D85" s="16" t="s">
        <v>320</v>
      </c>
      <c r="E85" s="81">
        <v>222.4</v>
      </c>
      <c r="F85" s="16">
        <v>1</v>
      </c>
      <c r="G85" s="82">
        <f t="shared" si="10"/>
        <v>222.4</v>
      </c>
      <c r="H85" s="82">
        <f t="shared" si="11"/>
        <v>18.53</v>
      </c>
    </row>
    <row r="86" ht="60" spans="1:8">
      <c r="A86" s="79">
        <v>12</v>
      </c>
      <c r="B86" s="16" t="s">
        <v>321</v>
      </c>
      <c r="C86" s="80" t="s">
        <v>323</v>
      </c>
      <c r="D86" s="16" t="s">
        <v>296</v>
      </c>
      <c r="E86" s="81">
        <v>3.8</v>
      </c>
      <c r="F86" s="16">
        <v>6</v>
      </c>
      <c r="G86" s="82">
        <f t="shared" si="10"/>
        <v>22.8</v>
      </c>
      <c r="H86" s="82">
        <f t="shared" si="11"/>
        <v>1.9</v>
      </c>
    </row>
    <row r="87" ht="75" spans="1:8">
      <c r="A87" s="79">
        <v>13</v>
      </c>
      <c r="B87" s="16" t="s">
        <v>324</v>
      </c>
      <c r="C87" s="80" t="s">
        <v>325</v>
      </c>
      <c r="D87" s="16" t="s">
        <v>288</v>
      </c>
      <c r="E87" s="81">
        <v>7</v>
      </c>
      <c r="F87" s="16">
        <v>2</v>
      </c>
      <c r="G87" s="82">
        <f t="shared" si="10"/>
        <v>14</v>
      </c>
      <c r="H87" s="82">
        <f t="shared" si="11"/>
        <v>1.16</v>
      </c>
    </row>
    <row r="88" ht="45" spans="1:8">
      <c r="A88" s="79">
        <v>14</v>
      </c>
      <c r="B88" s="16" t="s">
        <v>326</v>
      </c>
      <c r="C88" s="80" t="s">
        <v>327</v>
      </c>
      <c r="D88" s="16" t="s">
        <v>288</v>
      </c>
      <c r="E88" s="81">
        <v>1.57</v>
      </c>
      <c r="F88" s="16">
        <v>4</v>
      </c>
      <c r="G88" s="82">
        <f t="shared" si="10"/>
        <v>6.28</v>
      </c>
      <c r="H88" s="82">
        <f t="shared" si="11"/>
        <v>0.52</v>
      </c>
    </row>
    <row r="89" ht="30" spans="1:8">
      <c r="A89" s="79">
        <v>15</v>
      </c>
      <c r="B89" s="16" t="s">
        <v>328</v>
      </c>
      <c r="C89" s="80" t="s">
        <v>329</v>
      </c>
      <c r="D89" s="16" t="s">
        <v>288</v>
      </c>
      <c r="E89" s="81">
        <v>28</v>
      </c>
      <c r="F89" s="16">
        <v>4</v>
      </c>
      <c r="G89" s="82">
        <f t="shared" si="10"/>
        <v>112</v>
      </c>
      <c r="H89" s="82">
        <f t="shared" si="11"/>
        <v>9.33</v>
      </c>
    </row>
    <row r="90" ht="105" spans="1:8">
      <c r="A90" s="79">
        <v>16</v>
      </c>
      <c r="B90" s="79" t="s">
        <v>330</v>
      </c>
      <c r="C90" s="80" t="s">
        <v>331</v>
      </c>
      <c r="D90" s="16" t="s">
        <v>288</v>
      </c>
      <c r="E90" s="81">
        <v>3.55</v>
      </c>
      <c r="F90" s="16">
        <v>12</v>
      </c>
      <c r="G90" s="82">
        <f t="shared" si="10"/>
        <v>42.6</v>
      </c>
      <c r="H90" s="82">
        <f t="shared" si="11"/>
        <v>3.55</v>
      </c>
    </row>
    <row r="91" spans="1:8">
      <c r="A91" s="11" t="s">
        <v>204</v>
      </c>
      <c r="B91" s="11"/>
      <c r="C91" s="11"/>
      <c r="D91" s="11"/>
      <c r="E91" s="11"/>
      <c r="F91" s="11"/>
      <c r="G91" s="93">
        <f>TRUNC(SUM(H75:H90),2)</f>
        <v>100.5</v>
      </c>
      <c r="H91" s="93"/>
    </row>
    <row r="92" spans="1:8">
      <c r="A92" s="86"/>
      <c r="B92" s="87"/>
      <c r="C92" s="86"/>
      <c r="D92" s="88"/>
      <c r="E92" s="86"/>
      <c r="F92" s="86"/>
      <c r="G92" s="86"/>
      <c r="H92" s="86"/>
    </row>
    <row r="93" spans="1:8">
      <c r="A93" s="86"/>
      <c r="B93" s="87"/>
      <c r="C93" s="86"/>
      <c r="D93" s="88"/>
      <c r="E93" s="86"/>
      <c r="F93" s="86"/>
      <c r="G93" s="86"/>
      <c r="H93" s="86"/>
    </row>
    <row r="94" spans="1:8">
      <c r="A94" s="86"/>
      <c r="B94" s="87"/>
      <c r="C94" s="86"/>
      <c r="D94" s="88"/>
      <c r="E94" s="86"/>
      <c r="F94" s="86"/>
      <c r="G94" s="86"/>
      <c r="H94" s="86"/>
    </row>
    <row r="95" spans="1:8">
      <c r="A95" s="86"/>
      <c r="B95" s="87"/>
      <c r="C95" s="86"/>
      <c r="D95" s="88"/>
      <c r="E95" s="86"/>
      <c r="F95" s="86"/>
      <c r="G95" s="86"/>
      <c r="H95" s="86"/>
    </row>
    <row r="96" spans="1:8">
      <c r="A96" s="86"/>
      <c r="B96" s="87"/>
      <c r="C96" s="86"/>
      <c r="D96" s="88"/>
      <c r="E96" s="86"/>
      <c r="F96" s="86"/>
      <c r="G96" s="86"/>
      <c r="H96" s="86"/>
    </row>
    <row r="97" spans="1:8">
      <c r="A97" s="86"/>
      <c r="B97" s="87"/>
      <c r="C97" s="86"/>
      <c r="D97" s="88"/>
      <c r="E97" s="86"/>
      <c r="F97" s="86"/>
      <c r="G97" s="86"/>
      <c r="H97" s="86"/>
    </row>
    <row r="98" spans="1:8">
      <c r="A98" s="86"/>
      <c r="B98" s="87"/>
      <c r="C98" s="86"/>
      <c r="D98" s="88"/>
      <c r="E98" s="86"/>
      <c r="F98" s="86"/>
      <c r="G98" s="86"/>
      <c r="H98" s="86"/>
    </row>
    <row r="99" spans="1:8">
      <c r="A99" s="86"/>
      <c r="B99" s="87"/>
      <c r="C99" s="86"/>
      <c r="D99" s="88"/>
      <c r="E99" s="86"/>
      <c r="F99" s="86"/>
      <c r="G99" s="86"/>
      <c r="H99" s="86"/>
    </row>
    <row r="100" spans="1:8">
      <c r="A100" s="86"/>
      <c r="B100" s="87"/>
      <c r="C100" s="86"/>
      <c r="D100" s="88"/>
      <c r="E100" s="86"/>
      <c r="F100" s="86"/>
      <c r="G100" s="86"/>
      <c r="H100" s="86"/>
    </row>
    <row r="101" spans="1:8">
      <c r="A101" s="86"/>
      <c r="B101" s="87"/>
      <c r="C101" s="86"/>
      <c r="D101" s="88"/>
      <c r="E101" s="86"/>
      <c r="F101" s="86"/>
      <c r="G101" s="86"/>
      <c r="H101" s="86"/>
    </row>
    <row r="102" spans="1:8">
      <c r="A102" s="86"/>
      <c r="B102" s="87"/>
      <c r="C102" s="86"/>
      <c r="D102" s="88"/>
      <c r="E102" s="86"/>
      <c r="F102" s="86"/>
      <c r="G102" s="86"/>
      <c r="H102" s="86"/>
    </row>
    <row r="103" spans="1:8">
      <c r="A103" s="86"/>
      <c r="B103" s="87"/>
      <c r="C103" s="86"/>
      <c r="D103" s="88"/>
      <c r="E103" s="86"/>
      <c r="F103" s="86"/>
      <c r="G103" s="86"/>
      <c r="H103" s="86"/>
    </row>
    <row r="104" spans="1:8">
      <c r="A104" s="86"/>
      <c r="B104" s="87"/>
      <c r="C104" s="86"/>
      <c r="D104" s="88"/>
      <c r="E104" s="86"/>
      <c r="F104" s="86"/>
      <c r="G104" s="86"/>
      <c r="H104" s="86"/>
    </row>
    <row r="105" spans="1:8">
      <c r="A105" s="86"/>
      <c r="B105" s="87"/>
      <c r="C105" s="86"/>
      <c r="D105" s="88"/>
      <c r="E105" s="86"/>
      <c r="F105" s="86"/>
      <c r="G105" s="86"/>
      <c r="H105" s="86"/>
    </row>
  </sheetData>
  <mergeCells count="24">
    <mergeCell ref="A1:H1"/>
    <mergeCell ref="A2:H2"/>
    <mergeCell ref="A11:F11"/>
    <mergeCell ref="G11:H11"/>
    <mergeCell ref="A13:H13"/>
    <mergeCell ref="A14:H14"/>
    <mergeCell ref="A23:F23"/>
    <mergeCell ref="G23:H23"/>
    <mergeCell ref="A25:H25"/>
    <mergeCell ref="A26:H26"/>
    <mergeCell ref="A35:F35"/>
    <mergeCell ref="G35:H35"/>
    <mergeCell ref="A37:H37"/>
    <mergeCell ref="A38:H38"/>
    <mergeCell ref="A47:F47"/>
    <mergeCell ref="G47:H47"/>
    <mergeCell ref="A50:H50"/>
    <mergeCell ref="A51:H51"/>
    <mergeCell ref="A69:F69"/>
    <mergeCell ref="G69:H69"/>
    <mergeCell ref="A72:H72"/>
    <mergeCell ref="A73:H73"/>
    <mergeCell ref="A91:F91"/>
    <mergeCell ref="G91:H91"/>
  </mergeCells>
  <pageMargins left="0.75" right="0.75" top="1" bottom="1" header="0.5" footer="0.5"/>
  <pageSetup paperSize="9" orientation="portrait"/>
  <headerFooter/>
  <tableParts count="4">
    <tablePart r:id="rId1"/>
    <tablePart r:id="rId2"/>
    <tablePart r:id="rId3"/>
    <tablePart r:id="rId4"/>
  </tablePar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6"/>
  <sheetViews>
    <sheetView zoomScale="85" zoomScaleNormal="85" workbookViewId="0">
      <selection activeCell="H31" sqref="H31"/>
    </sheetView>
  </sheetViews>
  <sheetFormatPr defaultColWidth="8.88571428571429" defaultRowHeight="15" outlineLevelCol="6"/>
  <cols>
    <col min="2" max="2" width="36.6666666666667" customWidth="1"/>
    <col min="3" max="3" width="30.2190476190476" customWidth="1"/>
    <col min="4" max="4" width="22.552380952381" style="22" customWidth="1"/>
    <col min="5" max="5" width="16.8857142857143" customWidth="1"/>
    <col min="6" max="6" width="15.8857142857143" customWidth="1"/>
    <col min="7" max="7" width="12.552380952381" customWidth="1"/>
  </cols>
  <sheetData>
    <row r="1" spans="1:6">
      <c r="A1" s="23" t="s">
        <v>338</v>
      </c>
      <c r="B1" s="23"/>
      <c r="C1" s="23"/>
      <c r="D1" s="23"/>
      <c r="E1" s="23"/>
      <c r="F1" s="23"/>
    </row>
    <row r="2" ht="30" spans="1:6">
      <c r="A2" s="24" t="s">
        <v>278</v>
      </c>
      <c r="B2" s="24" t="s">
        <v>280</v>
      </c>
      <c r="C2" s="24" t="s">
        <v>281</v>
      </c>
      <c r="D2" s="25" t="s">
        <v>339</v>
      </c>
      <c r="E2" s="24" t="s">
        <v>257</v>
      </c>
      <c r="F2" s="24" t="s">
        <v>340</v>
      </c>
    </row>
    <row r="3" spans="1:6">
      <c r="A3" s="26">
        <v>1</v>
      </c>
      <c r="B3" s="27" t="s">
        <v>341</v>
      </c>
      <c r="C3" s="26" t="s">
        <v>342</v>
      </c>
      <c r="D3" s="28">
        <v>4</v>
      </c>
      <c r="E3" s="29">
        <v>28.4</v>
      </c>
      <c r="F3" s="30">
        <f>TRUNC(E3*D3,2)</f>
        <v>113.6</v>
      </c>
    </row>
    <row r="4" spans="1:6">
      <c r="A4" s="26">
        <v>2</v>
      </c>
      <c r="B4" s="27" t="s">
        <v>343</v>
      </c>
      <c r="C4" s="26" t="s">
        <v>342</v>
      </c>
      <c r="D4" s="28">
        <v>4</v>
      </c>
      <c r="E4" s="29">
        <v>51.65</v>
      </c>
      <c r="F4" s="30">
        <f t="shared" ref="F4:F35" si="0">TRUNC(E4*D4,2)</f>
        <v>206.6</v>
      </c>
    </row>
    <row r="5" spans="1:6">
      <c r="A5" s="26">
        <v>3</v>
      </c>
      <c r="B5" s="27" t="s">
        <v>344</v>
      </c>
      <c r="C5" s="26" t="s">
        <v>342</v>
      </c>
      <c r="D5" s="28">
        <v>4</v>
      </c>
      <c r="E5" s="29">
        <v>35.19</v>
      </c>
      <c r="F5" s="30">
        <f t="shared" si="0"/>
        <v>140.76</v>
      </c>
    </row>
    <row r="6" spans="1:6">
      <c r="A6" s="26">
        <v>4</v>
      </c>
      <c r="B6" s="27" t="s">
        <v>345</v>
      </c>
      <c r="C6" s="26" t="s">
        <v>342</v>
      </c>
      <c r="D6" s="28">
        <v>4</v>
      </c>
      <c r="E6" s="29">
        <v>60.75</v>
      </c>
      <c r="F6" s="30">
        <f t="shared" si="0"/>
        <v>243</v>
      </c>
    </row>
    <row r="7" spans="1:6">
      <c r="A7" s="26">
        <v>5</v>
      </c>
      <c r="B7" s="27" t="s">
        <v>346</v>
      </c>
      <c r="C7" s="26" t="s">
        <v>342</v>
      </c>
      <c r="D7" s="28">
        <v>4</v>
      </c>
      <c r="E7" s="29">
        <v>14</v>
      </c>
      <c r="F7" s="30">
        <f t="shared" si="0"/>
        <v>56</v>
      </c>
    </row>
    <row r="8" spans="1:6">
      <c r="A8" s="26">
        <v>6</v>
      </c>
      <c r="B8" s="27" t="s">
        <v>347</v>
      </c>
      <c r="C8" s="26" t="s">
        <v>342</v>
      </c>
      <c r="D8" s="28">
        <v>4</v>
      </c>
      <c r="E8" s="29">
        <v>11.38</v>
      </c>
      <c r="F8" s="30">
        <f t="shared" si="0"/>
        <v>45.52</v>
      </c>
    </row>
    <row r="9" spans="1:6">
      <c r="A9" s="26">
        <v>7</v>
      </c>
      <c r="B9" s="27" t="s">
        <v>348</v>
      </c>
      <c r="C9" s="26" t="s">
        <v>342</v>
      </c>
      <c r="D9" s="28">
        <v>4</v>
      </c>
      <c r="E9" s="29">
        <v>12.87</v>
      </c>
      <c r="F9" s="30">
        <f t="shared" si="0"/>
        <v>51.48</v>
      </c>
    </row>
    <row r="10" spans="1:6">
      <c r="A10" s="26">
        <v>8</v>
      </c>
      <c r="B10" s="27" t="s">
        <v>349</v>
      </c>
      <c r="C10" s="26" t="s">
        <v>342</v>
      </c>
      <c r="D10" s="28">
        <v>4</v>
      </c>
      <c r="E10" s="29">
        <v>27.23</v>
      </c>
      <c r="F10" s="30">
        <f t="shared" si="0"/>
        <v>108.92</v>
      </c>
    </row>
    <row r="11" spans="1:6">
      <c r="A11" s="26">
        <v>9</v>
      </c>
      <c r="B11" s="27" t="s">
        <v>350</v>
      </c>
      <c r="C11" s="26" t="s">
        <v>342</v>
      </c>
      <c r="D11" s="28">
        <v>4</v>
      </c>
      <c r="E11" s="29">
        <v>9.61</v>
      </c>
      <c r="F11" s="30">
        <f t="shared" si="0"/>
        <v>38.44</v>
      </c>
    </row>
    <row r="12" spans="1:6">
      <c r="A12" s="26">
        <v>10</v>
      </c>
      <c r="B12" s="27" t="s">
        <v>351</v>
      </c>
      <c r="C12" s="26" t="s">
        <v>342</v>
      </c>
      <c r="D12" s="28">
        <v>4</v>
      </c>
      <c r="E12" s="29">
        <v>9.71</v>
      </c>
      <c r="F12" s="30">
        <f t="shared" si="0"/>
        <v>38.84</v>
      </c>
    </row>
    <row r="13" spans="1:6">
      <c r="A13" s="26">
        <v>11</v>
      </c>
      <c r="B13" s="27" t="s">
        <v>352</v>
      </c>
      <c r="C13" s="26" t="s">
        <v>342</v>
      </c>
      <c r="D13" s="28">
        <v>2</v>
      </c>
      <c r="E13" s="29">
        <v>35.31</v>
      </c>
      <c r="F13" s="30">
        <f t="shared" si="0"/>
        <v>70.62</v>
      </c>
    </row>
    <row r="14" spans="1:6">
      <c r="A14" s="26">
        <v>12</v>
      </c>
      <c r="B14" s="27" t="s">
        <v>353</v>
      </c>
      <c r="C14" s="26" t="s">
        <v>342</v>
      </c>
      <c r="D14" s="28">
        <v>2</v>
      </c>
      <c r="E14" s="29">
        <v>13</v>
      </c>
      <c r="F14" s="30">
        <f t="shared" si="0"/>
        <v>26</v>
      </c>
    </row>
    <row r="15" spans="1:6">
      <c r="A15" s="26">
        <v>13</v>
      </c>
      <c r="B15" s="27" t="s">
        <v>354</v>
      </c>
      <c r="C15" s="26" t="s">
        <v>342</v>
      </c>
      <c r="D15" s="28">
        <v>2</v>
      </c>
      <c r="E15" s="29">
        <v>98</v>
      </c>
      <c r="F15" s="30">
        <f t="shared" si="0"/>
        <v>196</v>
      </c>
    </row>
    <row r="16" ht="28.5" spans="1:6">
      <c r="A16" s="26">
        <v>14</v>
      </c>
      <c r="B16" s="27" t="s">
        <v>355</v>
      </c>
      <c r="C16" s="26" t="s">
        <v>342</v>
      </c>
      <c r="D16" s="28">
        <v>2</v>
      </c>
      <c r="E16" s="29">
        <v>150</v>
      </c>
      <c r="F16" s="30">
        <f t="shared" si="0"/>
        <v>300</v>
      </c>
    </row>
    <row r="17" ht="28.5" spans="1:6">
      <c r="A17" s="26">
        <v>15</v>
      </c>
      <c r="B17" s="27" t="s">
        <v>356</v>
      </c>
      <c r="C17" s="26" t="s">
        <v>342</v>
      </c>
      <c r="D17" s="28">
        <v>2</v>
      </c>
      <c r="E17" s="29">
        <v>39.83</v>
      </c>
      <c r="F17" s="30">
        <f t="shared" si="0"/>
        <v>79.66</v>
      </c>
    </row>
    <row r="18" ht="28.5" spans="1:6">
      <c r="A18" s="26">
        <v>16</v>
      </c>
      <c r="B18" s="27" t="s">
        <v>357</v>
      </c>
      <c r="C18" s="26" t="s">
        <v>342</v>
      </c>
      <c r="D18" s="28">
        <v>2</v>
      </c>
      <c r="E18" s="29">
        <v>92.6</v>
      </c>
      <c r="F18" s="30">
        <f t="shared" si="0"/>
        <v>185.2</v>
      </c>
    </row>
    <row r="19" spans="1:6">
      <c r="A19" s="26">
        <v>17</v>
      </c>
      <c r="B19" s="27" t="s">
        <v>358</v>
      </c>
      <c r="C19" s="26" t="s">
        <v>342</v>
      </c>
      <c r="D19" s="28"/>
      <c r="E19" s="29">
        <v>5.7</v>
      </c>
      <c r="F19" s="30">
        <f t="shared" si="0"/>
        <v>0</v>
      </c>
    </row>
    <row r="20" spans="1:6">
      <c r="A20" s="26">
        <v>18</v>
      </c>
      <c r="B20" s="27" t="s">
        <v>359</v>
      </c>
      <c r="C20" s="26" t="s">
        <v>342</v>
      </c>
      <c r="D20" s="28">
        <v>4</v>
      </c>
      <c r="E20" s="29">
        <v>18.02</v>
      </c>
      <c r="F20" s="30">
        <f t="shared" si="0"/>
        <v>72.08</v>
      </c>
    </row>
    <row r="21" spans="1:6">
      <c r="A21" s="26">
        <v>19</v>
      </c>
      <c r="B21" s="27" t="s">
        <v>360</v>
      </c>
      <c r="C21" s="26" t="s">
        <v>342</v>
      </c>
      <c r="D21" s="28">
        <v>2</v>
      </c>
      <c r="E21" s="29">
        <v>41.23</v>
      </c>
      <c r="F21" s="30">
        <f t="shared" si="0"/>
        <v>82.46</v>
      </c>
    </row>
    <row r="22" spans="1:6">
      <c r="A22" s="26">
        <v>20</v>
      </c>
      <c r="B22" s="27" t="s">
        <v>361</v>
      </c>
      <c r="C22" s="26" t="s">
        <v>342</v>
      </c>
      <c r="D22" s="28"/>
      <c r="E22" s="29">
        <v>51.93</v>
      </c>
      <c r="F22" s="30">
        <f t="shared" si="0"/>
        <v>0</v>
      </c>
    </row>
    <row r="23" spans="1:6">
      <c r="A23" s="26">
        <v>21</v>
      </c>
      <c r="B23" s="27" t="s">
        <v>362</v>
      </c>
      <c r="C23" s="26" t="s">
        <v>342</v>
      </c>
      <c r="D23" s="28">
        <v>2</v>
      </c>
      <c r="E23" s="29">
        <v>34.25</v>
      </c>
      <c r="F23" s="30">
        <f t="shared" si="0"/>
        <v>68.5</v>
      </c>
    </row>
    <row r="24" spans="1:6">
      <c r="A24" s="26">
        <v>22</v>
      </c>
      <c r="B24" s="27" t="s">
        <v>363</v>
      </c>
      <c r="C24" s="26" t="s">
        <v>342</v>
      </c>
      <c r="D24" s="28">
        <v>2</v>
      </c>
      <c r="E24" s="29">
        <v>19.19</v>
      </c>
      <c r="F24" s="30">
        <f t="shared" si="0"/>
        <v>38.38</v>
      </c>
    </row>
    <row r="25" spans="1:6">
      <c r="A25" s="26">
        <v>23</v>
      </c>
      <c r="B25" s="27" t="s">
        <v>364</v>
      </c>
      <c r="C25" s="26" t="s">
        <v>342</v>
      </c>
      <c r="D25" s="28">
        <v>2</v>
      </c>
      <c r="E25" s="29">
        <v>27.99</v>
      </c>
      <c r="F25" s="30">
        <f t="shared" si="0"/>
        <v>55.98</v>
      </c>
    </row>
    <row r="26" spans="1:6">
      <c r="A26" s="26">
        <v>24</v>
      </c>
      <c r="B26" s="27" t="s">
        <v>365</v>
      </c>
      <c r="C26" s="26" t="s">
        <v>342</v>
      </c>
      <c r="D26" s="28">
        <v>2</v>
      </c>
      <c r="E26" s="29">
        <v>10.28</v>
      </c>
      <c r="F26" s="30">
        <f t="shared" si="0"/>
        <v>20.56</v>
      </c>
    </row>
    <row r="27" spans="1:6">
      <c r="A27" s="26">
        <v>25</v>
      </c>
      <c r="B27" s="27" t="s">
        <v>366</v>
      </c>
      <c r="C27" s="26" t="s">
        <v>342</v>
      </c>
      <c r="D27" s="28">
        <v>2</v>
      </c>
      <c r="E27" s="29">
        <v>14.3</v>
      </c>
      <c r="F27" s="30">
        <f t="shared" si="0"/>
        <v>28.6</v>
      </c>
    </row>
    <row r="28" spans="1:6">
      <c r="A28" s="26">
        <v>26</v>
      </c>
      <c r="B28" s="27" t="s">
        <v>367</v>
      </c>
      <c r="C28" s="26" t="s">
        <v>342</v>
      </c>
      <c r="D28" s="28"/>
      <c r="E28" s="29">
        <v>58.65</v>
      </c>
      <c r="F28" s="30">
        <f t="shared" si="0"/>
        <v>0</v>
      </c>
    </row>
    <row r="29" spans="1:6">
      <c r="A29" s="26">
        <v>27</v>
      </c>
      <c r="B29" s="27" t="s">
        <v>368</v>
      </c>
      <c r="C29" s="26" t="s">
        <v>342</v>
      </c>
      <c r="D29" s="28"/>
      <c r="E29" s="29">
        <v>31.28</v>
      </c>
      <c r="F29" s="30">
        <f t="shared" si="0"/>
        <v>0</v>
      </c>
    </row>
    <row r="30" spans="1:6">
      <c r="A30" s="26">
        <v>28</v>
      </c>
      <c r="B30" s="27" t="s">
        <v>369</v>
      </c>
      <c r="C30" s="26" t="s">
        <v>342</v>
      </c>
      <c r="D30" s="28"/>
      <c r="E30" s="29">
        <v>24</v>
      </c>
      <c r="F30" s="30">
        <f t="shared" si="0"/>
        <v>0</v>
      </c>
    </row>
    <row r="31" spans="1:6">
      <c r="A31" s="26">
        <v>29</v>
      </c>
      <c r="B31" s="27" t="s">
        <v>370</v>
      </c>
      <c r="C31" s="26" t="s">
        <v>342</v>
      </c>
      <c r="D31" s="28"/>
      <c r="E31" s="29">
        <v>52.19</v>
      </c>
      <c r="F31" s="30">
        <f t="shared" si="0"/>
        <v>0</v>
      </c>
    </row>
    <row r="32" spans="1:6">
      <c r="A32" s="26">
        <v>30</v>
      </c>
      <c r="B32" s="27" t="s">
        <v>371</v>
      </c>
      <c r="C32" s="26" t="s">
        <v>342</v>
      </c>
      <c r="D32" s="28"/>
      <c r="E32" s="29">
        <v>33.39</v>
      </c>
      <c r="F32" s="30">
        <f t="shared" si="0"/>
        <v>0</v>
      </c>
    </row>
    <row r="33" spans="1:6">
      <c r="A33" s="26">
        <v>31</v>
      </c>
      <c r="B33" s="27" t="s">
        <v>372</v>
      </c>
      <c r="C33" s="26" t="s">
        <v>342</v>
      </c>
      <c r="D33" s="28"/>
      <c r="E33" s="29">
        <v>53.87</v>
      </c>
      <c r="F33" s="30">
        <f t="shared" si="0"/>
        <v>0</v>
      </c>
    </row>
    <row r="34" spans="1:6">
      <c r="A34" s="26">
        <v>32</v>
      </c>
      <c r="B34" s="27" t="s">
        <v>373</v>
      </c>
      <c r="C34" s="26" t="s">
        <v>342</v>
      </c>
      <c r="D34" s="28"/>
      <c r="E34" s="29">
        <v>22.58</v>
      </c>
      <c r="F34" s="30">
        <f t="shared" si="0"/>
        <v>0</v>
      </c>
    </row>
    <row r="35" spans="1:6">
      <c r="A35" s="26">
        <v>33</v>
      </c>
      <c r="B35" s="27" t="s">
        <v>374</v>
      </c>
      <c r="C35" s="26" t="s">
        <v>342</v>
      </c>
      <c r="D35" s="28">
        <v>4</v>
      </c>
      <c r="E35" s="29">
        <v>17.56</v>
      </c>
      <c r="F35" s="30">
        <f t="shared" si="0"/>
        <v>70.24</v>
      </c>
    </row>
    <row r="36" spans="1:6">
      <c r="A36" s="26">
        <v>34</v>
      </c>
      <c r="B36" s="27" t="s">
        <v>375</v>
      </c>
      <c r="C36" s="26" t="s">
        <v>342</v>
      </c>
      <c r="D36" s="28"/>
      <c r="E36" s="29">
        <v>40</v>
      </c>
      <c r="F36" s="30">
        <f t="shared" ref="F36:F82" si="1">TRUNC(E36*D36,2)</f>
        <v>0</v>
      </c>
    </row>
    <row r="37" spans="1:6">
      <c r="A37" s="26">
        <v>35</v>
      </c>
      <c r="B37" s="27" t="s">
        <v>376</v>
      </c>
      <c r="C37" s="26" t="s">
        <v>342</v>
      </c>
      <c r="D37" s="28">
        <v>2</v>
      </c>
      <c r="E37" s="29">
        <v>25.55</v>
      </c>
      <c r="F37" s="30">
        <f t="shared" si="1"/>
        <v>51.1</v>
      </c>
    </row>
    <row r="38" spans="1:6">
      <c r="A38" s="26">
        <v>36</v>
      </c>
      <c r="B38" s="27" t="s">
        <v>377</v>
      </c>
      <c r="C38" s="26" t="s">
        <v>342</v>
      </c>
      <c r="D38" s="28"/>
      <c r="E38" s="29">
        <v>39.34</v>
      </c>
      <c r="F38" s="30">
        <f t="shared" si="1"/>
        <v>0</v>
      </c>
    </row>
    <row r="39" spans="1:6">
      <c r="A39" s="26">
        <v>37</v>
      </c>
      <c r="B39" s="27" t="s">
        <v>378</v>
      </c>
      <c r="C39" s="26" t="s">
        <v>342</v>
      </c>
      <c r="D39" s="28">
        <v>2</v>
      </c>
      <c r="E39" s="29">
        <v>13.75</v>
      </c>
      <c r="F39" s="30">
        <f t="shared" si="1"/>
        <v>27.5</v>
      </c>
    </row>
    <row r="40" spans="1:6">
      <c r="A40" s="26">
        <v>38</v>
      </c>
      <c r="B40" s="27" t="s">
        <v>379</v>
      </c>
      <c r="C40" s="26" t="s">
        <v>342</v>
      </c>
      <c r="D40" s="28"/>
      <c r="E40" s="29">
        <v>20.17</v>
      </c>
      <c r="F40" s="30">
        <f t="shared" si="1"/>
        <v>0</v>
      </c>
    </row>
    <row r="41" spans="1:6">
      <c r="A41" s="26">
        <v>39</v>
      </c>
      <c r="B41" s="27" t="s">
        <v>380</v>
      </c>
      <c r="C41" s="26" t="s">
        <v>342</v>
      </c>
      <c r="D41" s="28">
        <v>2</v>
      </c>
      <c r="E41" s="29">
        <v>30.26</v>
      </c>
      <c r="F41" s="30">
        <f t="shared" si="1"/>
        <v>60.52</v>
      </c>
    </row>
    <row r="42" spans="1:6">
      <c r="A42" s="26">
        <v>40</v>
      </c>
      <c r="B42" s="27" t="s">
        <v>381</v>
      </c>
      <c r="C42" s="26" t="s">
        <v>342</v>
      </c>
      <c r="D42" s="28"/>
      <c r="E42" s="29">
        <v>21.32</v>
      </c>
      <c r="F42" s="30">
        <f t="shared" si="1"/>
        <v>0</v>
      </c>
    </row>
    <row r="43" spans="1:6">
      <c r="A43" s="26">
        <v>41</v>
      </c>
      <c r="B43" s="27" t="s">
        <v>382</v>
      </c>
      <c r="C43" s="26" t="s">
        <v>342</v>
      </c>
      <c r="D43" s="28"/>
      <c r="E43" s="29">
        <v>9.31</v>
      </c>
      <c r="F43" s="30">
        <f t="shared" si="1"/>
        <v>0</v>
      </c>
    </row>
    <row r="44" spans="1:6">
      <c r="A44" s="26">
        <v>42</v>
      </c>
      <c r="B44" s="27" t="s">
        <v>383</v>
      </c>
      <c r="C44" s="26" t="s">
        <v>342</v>
      </c>
      <c r="D44" s="28">
        <v>2</v>
      </c>
      <c r="E44" s="29">
        <v>11.47</v>
      </c>
      <c r="F44" s="30">
        <f t="shared" si="1"/>
        <v>22.94</v>
      </c>
    </row>
    <row r="45" spans="1:6">
      <c r="A45" s="26">
        <v>43</v>
      </c>
      <c r="B45" s="27" t="s">
        <v>384</v>
      </c>
      <c r="C45" s="26" t="s">
        <v>342</v>
      </c>
      <c r="D45" s="28">
        <v>2</v>
      </c>
      <c r="E45" s="29">
        <v>9.12</v>
      </c>
      <c r="F45" s="30">
        <f t="shared" si="1"/>
        <v>18.24</v>
      </c>
    </row>
    <row r="46" spans="1:6">
      <c r="A46" s="26">
        <v>44</v>
      </c>
      <c r="B46" s="27" t="s">
        <v>385</v>
      </c>
      <c r="C46" s="26" t="s">
        <v>342</v>
      </c>
      <c r="D46" s="28"/>
      <c r="E46" s="29">
        <v>31.96</v>
      </c>
      <c r="F46" s="30">
        <f t="shared" si="1"/>
        <v>0</v>
      </c>
    </row>
    <row r="47" spans="1:6">
      <c r="A47" s="26">
        <v>45</v>
      </c>
      <c r="B47" s="27" t="s">
        <v>386</v>
      </c>
      <c r="C47" s="26" t="s">
        <v>342</v>
      </c>
      <c r="D47" s="28"/>
      <c r="E47" s="29">
        <v>17.48</v>
      </c>
      <c r="F47" s="30">
        <f t="shared" si="1"/>
        <v>0</v>
      </c>
    </row>
    <row r="48" spans="1:6">
      <c r="A48" s="26">
        <v>46</v>
      </c>
      <c r="B48" s="27" t="s">
        <v>387</v>
      </c>
      <c r="C48" s="26" t="s">
        <v>342</v>
      </c>
      <c r="D48" s="28">
        <v>2</v>
      </c>
      <c r="E48" s="29">
        <v>67.59</v>
      </c>
      <c r="F48" s="30">
        <f t="shared" si="1"/>
        <v>135.18</v>
      </c>
    </row>
    <row r="49" spans="1:6">
      <c r="A49" s="26">
        <v>47</v>
      </c>
      <c r="B49" s="27" t="s">
        <v>388</v>
      </c>
      <c r="C49" s="26" t="s">
        <v>342</v>
      </c>
      <c r="D49" s="28">
        <v>4</v>
      </c>
      <c r="E49" s="29">
        <v>36</v>
      </c>
      <c r="F49" s="30">
        <f t="shared" si="1"/>
        <v>144</v>
      </c>
    </row>
    <row r="50" ht="28.5" spans="1:6">
      <c r="A50" s="26">
        <v>48</v>
      </c>
      <c r="B50" s="27" t="s">
        <v>389</v>
      </c>
      <c r="C50" s="26" t="s">
        <v>342</v>
      </c>
      <c r="D50" s="28">
        <v>2</v>
      </c>
      <c r="E50" s="29">
        <v>15.8</v>
      </c>
      <c r="F50" s="30">
        <f t="shared" si="1"/>
        <v>31.6</v>
      </c>
    </row>
    <row r="51" spans="1:6">
      <c r="A51" s="26">
        <v>49</v>
      </c>
      <c r="B51" s="27" t="s">
        <v>390</v>
      </c>
      <c r="C51" s="26" t="s">
        <v>342</v>
      </c>
      <c r="D51" s="28">
        <v>6</v>
      </c>
      <c r="E51" s="29">
        <v>6.3</v>
      </c>
      <c r="F51" s="30">
        <f t="shared" si="1"/>
        <v>37.8</v>
      </c>
    </row>
    <row r="52" spans="1:6">
      <c r="A52" s="26">
        <v>50</v>
      </c>
      <c r="B52" s="27" t="s">
        <v>391</v>
      </c>
      <c r="C52" s="26" t="s">
        <v>342</v>
      </c>
      <c r="D52" s="28">
        <v>6</v>
      </c>
      <c r="E52" s="29">
        <v>5.88</v>
      </c>
      <c r="F52" s="30">
        <f t="shared" si="1"/>
        <v>35.28</v>
      </c>
    </row>
    <row r="53" spans="1:6">
      <c r="A53" s="26">
        <v>51</v>
      </c>
      <c r="B53" s="27" t="s">
        <v>392</v>
      </c>
      <c r="C53" s="26" t="s">
        <v>342</v>
      </c>
      <c r="D53" s="28">
        <v>6</v>
      </c>
      <c r="E53" s="29">
        <v>5.63</v>
      </c>
      <c r="F53" s="30">
        <f t="shared" si="1"/>
        <v>33.78</v>
      </c>
    </row>
    <row r="54" spans="1:6">
      <c r="A54" s="26">
        <v>52</v>
      </c>
      <c r="B54" s="27" t="s">
        <v>393</v>
      </c>
      <c r="C54" s="26" t="s">
        <v>342</v>
      </c>
      <c r="D54" s="28">
        <v>6</v>
      </c>
      <c r="E54" s="29">
        <v>8</v>
      </c>
      <c r="F54" s="30">
        <f t="shared" si="1"/>
        <v>48</v>
      </c>
    </row>
    <row r="55" ht="28.5" spans="1:6">
      <c r="A55" s="26">
        <v>53</v>
      </c>
      <c r="B55" s="27" t="s">
        <v>394</v>
      </c>
      <c r="C55" s="26" t="s">
        <v>342</v>
      </c>
      <c r="D55" s="28">
        <v>2</v>
      </c>
      <c r="E55" s="29">
        <v>27.67</v>
      </c>
      <c r="F55" s="30">
        <f t="shared" si="1"/>
        <v>55.34</v>
      </c>
    </row>
    <row r="56" spans="1:6">
      <c r="A56" s="26">
        <v>54</v>
      </c>
      <c r="B56" s="27" t="s">
        <v>395</v>
      </c>
      <c r="C56" s="26" t="s">
        <v>342</v>
      </c>
      <c r="D56" s="28">
        <v>6</v>
      </c>
      <c r="E56" s="29">
        <v>6.79</v>
      </c>
      <c r="F56" s="30">
        <f t="shared" si="1"/>
        <v>40.74</v>
      </c>
    </row>
    <row r="57" spans="1:6">
      <c r="A57" s="26">
        <v>55</v>
      </c>
      <c r="B57" s="27" t="s">
        <v>396</v>
      </c>
      <c r="C57" s="26" t="s">
        <v>342</v>
      </c>
      <c r="D57" s="28">
        <v>6</v>
      </c>
      <c r="E57" s="29">
        <v>5.9</v>
      </c>
      <c r="F57" s="30">
        <f t="shared" si="1"/>
        <v>35.4</v>
      </c>
    </row>
    <row r="58" spans="1:6">
      <c r="A58" s="26">
        <v>56</v>
      </c>
      <c r="B58" s="27" t="s">
        <v>397</v>
      </c>
      <c r="C58" s="26" t="s">
        <v>342</v>
      </c>
      <c r="D58" s="28"/>
      <c r="E58" s="29">
        <v>23.73</v>
      </c>
      <c r="F58" s="30">
        <f t="shared" si="1"/>
        <v>0</v>
      </c>
    </row>
    <row r="59" spans="1:6">
      <c r="A59" s="26">
        <v>57</v>
      </c>
      <c r="B59" s="27" t="s">
        <v>398</v>
      </c>
      <c r="C59" s="26" t="s">
        <v>342</v>
      </c>
      <c r="D59" s="28"/>
      <c r="E59" s="29">
        <v>9</v>
      </c>
      <c r="F59" s="30">
        <f t="shared" si="1"/>
        <v>0</v>
      </c>
    </row>
    <row r="60" spans="1:6">
      <c r="A60" s="26">
        <v>58</v>
      </c>
      <c r="B60" s="27" t="s">
        <v>399</v>
      </c>
      <c r="C60" s="26" t="s">
        <v>342</v>
      </c>
      <c r="D60" s="28"/>
      <c r="E60" s="29">
        <v>62.69</v>
      </c>
      <c r="F60" s="30">
        <f t="shared" si="1"/>
        <v>0</v>
      </c>
    </row>
    <row r="61" spans="1:6">
      <c r="A61" s="26">
        <v>59</v>
      </c>
      <c r="B61" s="27" t="s">
        <v>400</v>
      </c>
      <c r="C61" s="26" t="s">
        <v>342</v>
      </c>
      <c r="D61" s="28"/>
      <c r="E61" s="29">
        <v>36.68</v>
      </c>
      <c r="F61" s="30">
        <f t="shared" si="1"/>
        <v>0</v>
      </c>
    </row>
    <row r="62" spans="1:6">
      <c r="A62" s="26">
        <v>60</v>
      </c>
      <c r="B62" s="27" t="s">
        <v>401</v>
      </c>
      <c r="C62" s="26" t="s">
        <v>342</v>
      </c>
      <c r="D62" s="28"/>
      <c r="E62" s="29">
        <v>57.67</v>
      </c>
      <c r="F62" s="30">
        <f t="shared" si="1"/>
        <v>0</v>
      </c>
    </row>
    <row r="63" ht="28.5" spans="1:6">
      <c r="A63" s="26">
        <v>61</v>
      </c>
      <c r="B63" s="27" t="s">
        <v>402</v>
      </c>
      <c r="C63" s="26" t="s">
        <v>342</v>
      </c>
      <c r="D63" s="28"/>
      <c r="E63" s="29">
        <v>53.87</v>
      </c>
      <c r="F63" s="30">
        <f t="shared" si="1"/>
        <v>0</v>
      </c>
    </row>
    <row r="64" spans="1:6">
      <c r="A64" s="26">
        <v>62</v>
      </c>
      <c r="B64" s="27" t="s">
        <v>403</v>
      </c>
      <c r="C64" s="26" t="s">
        <v>342</v>
      </c>
      <c r="D64" s="28"/>
      <c r="E64" s="29">
        <v>38.39</v>
      </c>
      <c r="F64" s="30">
        <f t="shared" si="1"/>
        <v>0</v>
      </c>
    </row>
    <row r="65" ht="28.5" spans="1:6">
      <c r="A65" s="26">
        <v>63</v>
      </c>
      <c r="B65" s="27" t="s">
        <v>404</v>
      </c>
      <c r="C65" s="26" t="s">
        <v>342</v>
      </c>
      <c r="D65" s="28"/>
      <c r="E65" s="29">
        <v>33.34</v>
      </c>
      <c r="F65" s="30">
        <f t="shared" si="1"/>
        <v>0</v>
      </c>
    </row>
    <row r="66" ht="28.5" spans="1:6">
      <c r="A66" s="26">
        <v>64</v>
      </c>
      <c r="B66" s="27" t="s">
        <v>405</v>
      </c>
      <c r="C66" s="26" t="s">
        <v>342</v>
      </c>
      <c r="D66" s="28"/>
      <c r="E66" s="29">
        <v>64.59</v>
      </c>
      <c r="F66" s="30">
        <f t="shared" si="1"/>
        <v>0</v>
      </c>
    </row>
    <row r="67" spans="1:6">
      <c r="A67" s="26">
        <v>65</v>
      </c>
      <c r="B67" s="27" t="s">
        <v>406</v>
      </c>
      <c r="C67" s="26" t="s">
        <v>342</v>
      </c>
      <c r="D67" s="28"/>
      <c r="E67" s="29">
        <v>39</v>
      </c>
      <c r="F67" s="30">
        <f t="shared" si="1"/>
        <v>0</v>
      </c>
    </row>
    <row r="68" ht="28.5" spans="1:6">
      <c r="A68" s="26">
        <v>66</v>
      </c>
      <c r="B68" s="27" t="s">
        <v>407</v>
      </c>
      <c r="C68" s="26" t="s">
        <v>342</v>
      </c>
      <c r="D68" s="28">
        <v>8</v>
      </c>
      <c r="E68" s="29">
        <v>248.59</v>
      </c>
      <c r="F68" s="30">
        <f t="shared" si="1"/>
        <v>1988.72</v>
      </c>
    </row>
    <row r="69" spans="1:6">
      <c r="A69" s="26">
        <v>67</v>
      </c>
      <c r="B69" s="27" t="s">
        <v>408</v>
      </c>
      <c r="C69" s="26" t="s">
        <v>342</v>
      </c>
      <c r="D69" s="28"/>
      <c r="E69" s="29">
        <v>19.52</v>
      </c>
      <c r="F69" s="30">
        <f t="shared" si="1"/>
        <v>0</v>
      </c>
    </row>
    <row r="70" spans="1:6">
      <c r="A70" s="26">
        <v>68</v>
      </c>
      <c r="B70" s="27" t="s">
        <v>409</v>
      </c>
      <c r="C70" s="26" t="s">
        <v>342</v>
      </c>
      <c r="D70" s="28"/>
      <c r="E70" s="29">
        <v>5.55</v>
      </c>
      <c r="F70" s="30">
        <f t="shared" si="1"/>
        <v>0</v>
      </c>
    </row>
    <row r="71" spans="1:6">
      <c r="A71" s="26">
        <v>69</v>
      </c>
      <c r="B71" s="27" t="s">
        <v>410</v>
      </c>
      <c r="C71" s="26" t="s">
        <v>342</v>
      </c>
      <c r="D71" s="28"/>
      <c r="E71" s="29">
        <v>7.93</v>
      </c>
      <c r="F71" s="30">
        <f t="shared" si="1"/>
        <v>0</v>
      </c>
    </row>
    <row r="72" spans="1:6">
      <c r="A72" s="26">
        <v>70</v>
      </c>
      <c r="B72" s="27" t="s">
        <v>411</v>
      </c>
      <c r="C72" s="26" t="s">
        <v>342</v>
      </c>
      <c r="D72" s="28"/>
      <c r="E72" s="29">
        <v>58.03</v>
      </c>
      <c r="F72" s="30">
        <f t="shared" si="1"/>
        <v>0</v>
      </c>
    </row>
    <row r="73" spans="1:6">
      <c r="A73" s="26">
        <v>71</v>
      </c>
      <c r="B73" s="27" t="s">
        <v>412</v>
      </c>
      <c r="C73" s="26" t="s">
        <v>342</v>
      </c>
      <c r="D73" s="28"/>
      <c r="E73" s="29">
        <v>31.97</v>
      </c>
      <c r="F73" s="30">
        <f t="shared" si="1"/>
        <v>0</v>
      </c>
    </row>
    <row r="74" spans="1:6">
      <c r="A74" s="26">
        <v>72</v>
      </c>
      <c r="B74" s="27" t="s">
        <v>413</v>
      </c>
      <c r="C74" s="26" t="s">
        <v>342</v>
      </c>
      <c r="D74" s="28"/>
      <c r="E74" s="29">
        <v>41.37</v>
      </c>
      <c r="F74" s="30">
        <f t="shared" si="1"/>
        <v>0</v>
      </c>
    </row>
    <row r="75" ht="28.5" spans="1:6">
      <c r="A75" s="26">
        <v>73</v>
      </c>
      <c r="B75" s="27" t="s">
        <v>414</v>
      </c>
      <c r="C75" s="26" t="s">
        <v>342</v>
      </c>
      <c r="D75" s="28"/>
      <c r="E75" s="29">
        <v>56.37</v>
      </c>
      <c r="F75" s="30">
        <f t="shared" si="1"/>
        <v>0</v>
      </c>
    </row>
    <row r="76" spans="1:6">
      <c r="A76" s="26">
        <v>74</v>
      </c>
      <c r="B76" s="27" t="s">
        <v>415</v>
      </c>
      <c r="C76" s="26" t="s">
        <v>342</v>
      </c>
      <c r="D76" s="28"/>
      <c r="E76" s="29">
        <v>64.11</v>
      </c>
      <c r="F76" s="30">
        <f t="shared" si="1"/>
        <v>0</v>
      </c>
    </row>
    <row r="77" spans="1:6">
      <c r="A77" s="26">
        <v>75</v>
      </c>
      <c r="B77" s="27" t="s">
        <v>416</v>
      </c>
      <c r="C77" s="26" t="s">
        <v>342</v>
      </c>
      <c r="D77" s="28"/>
      <c r="E77" s="29">
        <v>47.71</v>
      </c>
      <c r="F77" s="30">
        <f t="shared" si="1"/>
        <v>0</v>
      </c>
    </row>
    <row r="78" spans="1:6">
      <c r="A78" s="26">
        <v>76</v>
      </c>
      <c r="B78" s="27" t="s">
        <v>417</v>
      </c>
      <c r="C78" s="26" t="s">
        <v>342</v>
      </c>
      <c r="D78" s="28"/>
      <c r="E78" s="29">
        <v>102.92</v>
      </c>
      <c r="F78" s="30">
        <f t="shared" si="1"/>
        <v>0</v>
      </c>
    </row>
    <row r="79" spans="1:6">
      <c r="A79" s="26">
        <v>77</v>
      </c>
      <c r="B79" s="27" t="s">
        <v>418</v>
      </c>
      <c r="C79" s="26" t="s">
        <v>342</v>
      </c>
      <c r="D79" s="28"/>
      <c r="E79" s="29">
        <v>74.38</v>
      </c>
      <c r="F79" s="30">
        <f t="shared" si="1"/>
        <v>0</v>
      </c>
    </row>
    <row r="80" spans="1:6">
      <c r="A80" s="26">
        <v>78</v>
      </c>
      <c r="B80" s="31" t="s">
        <v>419</v>
      </c>
      <c r="C80" s="26" t="s">
        <v>342</v>
      </c>
      <c r="D80" s="28">
        <v>2</v>
      </c>
      <c r="E80" s="29">
        <v>288.5</v>
      </c>
      <c r="F80" s="30">
        <f t="shared" si="1"/>
        <v>577</v>
      </c>
    </row>
    <row r="81" spans="1:6">
      <c r="A81" s="26">
        <v>79</v>
      </c>
      <c r="B81" s="31" t="s">
        <v>420</v>
      </c>
      <c r="C81" s="26" t="s">
        <v>342</v>
      </c>
      <c r="D81" s="28"/>
      <c r="E81" s="29">
        <v>98</v>
      </c>
      <c r="F81" s="30">
        <f t="shared" si="1"/>
        <v>0</v>
      </c>
    </row>
    <row r="82" spans="1:6">
      <c r="A82" s="26">
        <v>80</v>
      </c>
      <c r="B82" s="31" t="s">
        <v>421</v>
      </c>
      <c r="C82" s="26" t="s">
        <v>342</v>
      </c>
      <c r="D82" s="28"/>
      <c r="E82" s="29">
        <v>129.98</v>
      </c>
      <c r="F82" s="30">
        <f t="shared" si="1"/>
        <v>0</v>
      </c>
    </row>
    <row r="83" spans="1:6">
      <c r="A83" s="32" t="s">
        <v>340</v>
      </c>
      <c r="B83" s="32"/>
      <c r="C83" s="32"/>
      <c r="D83" s="32"/>
      <c r="E83" s="33">
        <f>TRUNC(SUM(F3:F82),2)</f>
        <v>5680.58</v>
      </c>
      <c r="F83" s="33"/>
    </row>
    <row r="84" spans="1:6">
      <c r="A84" s="32" t="s">
        <v>422</v>
      </c>
      <c r="B84" s="32"/>
      <c r="C84" s="32"/>
      <c r="D84" s="32"/>
      <c r="E84" s="32">
        <v>2</v>
      </c>
      <c r="F84" s="32"/>
    </row>
    <row r="85" spans="1:6">
      <c r="A85" s="32" t="s">
        <v>423</v>
      </c>
      <c r="B85" s="32"/>
      <c r="C85" s="32"/>
      <c r="D85" s="32"/>
      <c r="E85" s="33">
        <f>TRUNC((E83/E84)/12,2)</f>
        <v>236.69</v>
      </c>
      <c r="F85" s="33"/>
    </row>
    <row r="86" spans="1:6">
      <c r="A86" s="34"/>
      <c r="B86" s="34"/>
      <c r="C86" s="34"/>
      <c r="D86" s="35"/>
      <c r="E86" s="34"/>
      <c r="F86" s="34"/>
    </row>
    <row r="87" spans="1:6">
      <c r="A87" s="34"/>
      <c r="B87" s="34"/>
      <c r="C87" s="34"/>
      <c r="D87" s="35"/>
      <c r="E87" s="34"/>
      <c r="F87" s="34"/>
    </row>
    <row r="88" spans="1:6">
      <c r="A88" s="34"/>
      <c r="B88" s="34"/>
      <c r="C88" s="34"/>
      <c r="D88" s="35"/>
      <c r="E88" s="34"/>
      <c r="F88" s="34"/>
    </row>
    <row r="89" spans="1:6">
      <c r="A89" s="36" t="s">
        <v>424</v>
      </c>
      <c r="B89" s="36"/>
      <c r="C89" s="36"/>
      <c r="D89" s="37"/>
      <c r="E89" s="36"/>
      <c r="F89" s="36"/>
    </row>
    <row r="90" ht="28.5" spans="1:6">
      <c r="A90" s="38" t="s">
        <v>278</v>
      </c>
      <c r="B90" s="38" t="s">
        <v>280</v>
      </c>
      <c r="C90" s="38" t="s">
        <v>281</v>
      </c>
      <c r="D90" s="38" t="s">
        <v>339</v>
      </c>
      <c r="E90" s="39" t="s">
        <v>257</v>
      </c>
      <c r="F90" s="39" t="s">
        <v>340</v>
      </c>
    </row>
    <row r="91" spans="1:6">
      <c r="A91" s="26">
        <v>1</v>
      </c>
      <c r="B91" s="40" t="s">
        <v>425</v>
      </c>
      <c r="C91" s="26" t="s">
        <v>342</v>
      </c>
      <c r="D91" s="28">
        <v>2</v>
      </c>
      <c r="E91" s="29">
        <v>252.06</v>
      </c>
      <c r="F91" s="30">
        <f t="shared" ref="F91:F110" si="2">TRUNC(E91*D91,2)</f>
        <v>504.12</v>
      </c>
    </row>
    <row r="92" ht="28.5" spans="1:6">
      <c r="A92" s="26">
        <v>2</v>
      </c>
      <c r="B92" s="40" t="s">
        <v>426</v>
      </c>
      <c r="C92" s="26" t="s">
        <v>342</v>
      </c>
      <c r="D92" s="28">
        <v>1</v>
      </c>
      <c r="E92" s="29">
        <v>1636.81</v>
      </c>
      <c r="F92" s="30">
        <f t="shared" si="2"/>
        <v>1636.81</v>
      </c>
    </row>
    <row r="93" ht="28.5" spans="1:6">
      <c r="A93" s="26">
        <v>3</v>
      </c>
      <c r="B93" s="40" t="s">
        <v>427</v>
      </c>
      <c r="C93" s="26" t="s">
        <v>342</v>
      </c>
      <c r="D93" s="28">
        <v>1</v>
      </c>
      <c r="E93" s="29">
        <v>211.12</v>
      </c>
      <c r="F93" s="30">
        <f t="shared" si="2"/>
        <v>211.12</v>
      </c>
    </row>
    <row r="94" spans="1:6">
      <c r="A94" s="26">
        <v>4</v>
      </c>
      <c r="B94" s="31" t="s">
        <v>428</v>
      </c>
      <c r="C94" s="26" t="s">
        <v>342</v>
      </c>
      <c r="D94" s="28"/>
      <c r="E94" s="29">
        <v>221.04</v>
      </c>
      <c r="F94" s="30">
        <f t="shared" si="2"/>
        <v>0</v>
      </c>
    </row>
    <row r="95" ht="28.5" spans="1:6">
      <c r="A95" s="26">
        <v>5</v>
      </c>
      <c r="B95" s="31" t="s">
        <v>429</v>
      </c>
      <c r="C95" s="26" t="s">
        <v>342</v>
      </c>
      <c r="D95" s="28">
        <v>8</v>
      </c>
      <c r="E95" s="29">
        <v>178.67</v>
      </c>
      <c r="F95" s="30">
        <f t="shared" si="2"/>
        <v>1429.36</v>
      </c>
    </row>
    <row r="96" spans="1:6">
      <c r="A96" s="26">
        <v>6</v>
      </c>
      <c r="B96" s="40" t="s">
        <v>430</v>
      </c>
      <c r="C96" s="26" t="s">
        <v>342</v>
      </c>
      <c r="D96" s="28"/>
      <c r="E96" s="29">
        <v>670.15</v>
      </c>
      <c r="F96" s="30">
        <f t="shared" si="2"/>
        <v>0</v>
      </c>
    </row>
    <row r="97" spans="1:6">
      <c r="A97" s="26">
        <v>7</v>
      </c>
      <c r="B97" s="40" t="s">
        <v>431</v>
      </c>
      <c r="C97" s="26" t="s">
        <v>342</v>
      </c>
      <c r="D97" s="28">
        <v>2</v>
      </c>
      <c r="E97" s="29">
        <v>284</v>
      </c>
      <c r="F97" s="30">
        <f t="shared" si="2"/>
        <v>568</v>
      </c>
    </row>
    <row r="98" spans="1:6">
      <c r="A98" s="26">
        <v>8</v>
      </c>
      <c r="B98" s="40" t="s">
        <v>432</v>
      </c>
      <c r="C98" s="26" t="s">
        <v>342</v>
      </c>
      <c r="D98" s="28">
        <v>1</v>
      </c>
      <c r="E98" s="29">
        <v>295.17</v>
      </c>
      <c r="F98" s="30">
        <f t="shared" si="2"/>
        <v>295.17</v>
      </c>
    </row>
    <row r="99" spans="1:6">
      <c r="A99" s="26">
        <v>9</v>
      </c>
      <c r="B99" s="31" t="s">
        <v>433</v>
      </c>
      <c r="C99" s="26" t="s">
        <v>342</v>
      </c>
      <c r="D99" s="28"/>
      <c r="E99" s="29">
        <v>323.61</v>
      </c>
      <c r="F99" s="30">
        <f t="shared" si="2"/>
        <v>0</v>
      </c>
    </row>
    <row r="100" spans="1:6">
      <c r="A100" s="26">
        <v>10</v>
      </c>
      <c r="B100" s="40" t="s">
        <v>434</v>
      </c>
      <c r="C100" s="26" t="s">
        <v>342</v>
      </c>
      <c r="D100" s="28">
        <v>1</v>
      </c>
      <c r="E100" s="29">
        <v>455.33</v>
      </c>
      <c r="F100" s="30">
        <f t="shared" si="2"/>
        <v>455.33</v>
      </c>
    </row>
    <row r="101" spans="1:6">
      <c r="A101" s="26">
        <v>11</v>
      </c>
      <c r="B101" s="31" t="s">
        <v>435</v>
      </c>
      <c r="C101" s="26" t="s">
        <v>342</v>
      </c>
      <c r="D101" s="28">
        <v>1</v>
      </c>
      <c r="E101" s="29">
        <v>351</v>
      </c>
      <c r="F101" s="30">
        <f t="shared" si="2"/>
        <v>351</v>
      </c>
    </row>
    <row r="102" spans="1:6">
      <c r="A102" s="26">
        <v>12</v>
      </c>
      <c r="B102" s="31" t="s">
        <v>436</v>
      </c>
      <c r="C102" s="26" t="s">
        <v>342</v>
      </c>
      <c r="D102" s="28"/>
      <c r="E102" s="29">
        <v>270</v>
      </c>
      <c r="F102" s="30">
        <f t="shared" si="2"/>
        <v>0</v>
      </c>
    </row>
    <row r="103" spans="1:6">
      <c r="A103" s="26">
        <v>13</v>
      </c>
      <c r="B103" s="40" t="s">
        <v>437</v>
      </c>
      <c r="C103" s="26" t="s">
        <v>342</v>
      </c>
      <c r="D103" s="28">
        <v>1</v>
      </c>
      <c r="E103" s="29">
        <v>457.22</v>
      </c>
      <c r="F103" s="30">
        <f t="shared" si="2"/>
        <v>457.22</v>
      </c>
    </row>
    <row r="104" spans="1:6">
      <c r="A104" s="26">
        <v>14</v>
      </c>
      <c r="B104" s="31" t="s">
        <v>438</v>
      </c>
      <c r="C104" s="26" t="s">
        <v>342</v>
      </c>
      <c r="D104" s="28">
        <v>1</v>
      </c>
      <c r="E104" s="29">
        <v>269.99</v>
      </c>
      <c r="F104" s="30">
        <f t="shared" si="2"/>
        <v>269.99</v>
      </c>
    </row>
    <row r="105" spans="1:6">
      <c r="A105" s="26">
        <v>15</v>
      </c>
      <c r="B105" s="40" t="s">
        <v>439</v>
      </c>
      <c r="C105" s="26" t="s">
        <v>342</v>
      </c>
      <c r="D105" s="28"/>
      <c r="E105" s="29">
        <v>1021.1</v>
      </c>
      <c r="F105" s="30">
        <f t="shared" si="2"/>
        <v>0</v>
      </c>
    </row>
    <row r="106" spans="1:6">
      <c r="A106" s="26">
        <v>16</v>
      </c>
      <c r="B106" s="31" t="s">
        <v>440</v>
      </c>
      <c r="C106" s="26" t="s">
        <v>342</v>
      </c>
      <c r="D106" s="28"/>
      <c r="E106" s="29">
        <v>174.28</v>
      </c>
      <c r="F106" s="30">
        <f t="shared" si="2"/>
        <v>0</v>
      </c>
    </row>
    <row r="107" spans="1:6">
      <c r="A107" s="26">
        <v>17</v>
      </c>
      <c r="B107" s="40" t="s">
        <v>441</v>
      </c>
      <c r="C107" s="26" t="s">
        <v>342</v>
      </c>
      <c r="D107" s="28"/>
      <c r="E107" s="29">
        <v>127.72</v>
      </c>
      <c r="F107" s="30">
        <f t="shared" si="2"/>
        <v>0</v>
      </c>
    </row>
    <row r="108" spans="1:6">
      <c r="A108" s="26">
        <v>18</v>
      </c>
      <c r="B108" s="31" t="s">
        <v>442</v>
      </c>
      <c r="C108" s="26" t="s">
        <v>342</v>
      </c>
      <c r="D108" s="28"/>
      <c r="E108" s="29">
        <v>241.42</v>
      </c>
      <c r="F108" s="30">
        <f t="shared" si="2"/>
        <v>0</v>
      </c>
    </row>
    <row r="109" spans="1:6">
      <c r="A109" s="26">
        <v>19</v>
      </c>
      <c r="B109" s="31" t="s">
        <v>443</v>
      </c>
      <c r="C109" s="26" t="s">
        <v>342</v>
      </c>
      <c r="D109" s="28"/>
      <c r="E109" s="29">
        <v>217.7</v>
      </c>
      <c r="F109" s="30">
        <f t="shared" si="2"/>
        <v>0</v>
      </c>
    </row>
    <row r="110" spans="1:6">
      <c r="A110" s="26">
        <v>20</v>
      </c>
      <c r="B110" s="31" t="s">
        <v>444</v>
      </c>
      <c r="C110" s="26" t="s">
        <v>342</v>
      </c>
      <c r="D110" s="28"/>
      <c r="E110" s="29">
        <v>170.81</v>
      </c>
      <c r="F110" s="30">
        <f t="shared" si="2"/>
        <v>0</v>
      </c>
    </row>
    <row r="111" spans="1:6">
      <c r="A111" s="41" t="s">
        <v>58</v>
      </c>
      <c r="B111" s="42"/>
      <c r="C111" s="43"/>
      <c r="D111" s="35"/>
      <c r="E111" s="43"/>
      <c r="F111" s="44">
        <f>SUBTOTAL(109,Table44[VALOR TOTAL])</f>
        <v>6178.12</v>
      </c>
    </row>
    <row r="112" spans="1:6">
      <c r="A112" s="45" t="s">
        <v>445</v>
      </c>
      <c r="B112" s="46"/>
      <c r="C112" s="46"/>
      <c r="D112" s="47"/>
      <c r="E112" s="48"/>
      <c r="F112" s="49">
        <f>Table44[[#Totals],[VALOR TOTAL]]*0.5%</f>
        <v>30.8906</v>
      </c>
    </row>
    <row r="113" spans="1:6">
      <c r="A113" s="50" t="s">
        <v>446</v>
      </c>
      <c r="B113" s="50"/>
      <c r="C113" s="50"/>
      <c r="D113" s="51"/>
      <c r="E113" s="50"/>
      <c r="F113" s="52">
        <f>Table44[[#Totals],[VALOR TOTAL]]*(1-0.2)/(12*8)</f>
        <v>51.4843333333333</v>
      </c>
    </row>
    <row r="114" spans="1:6">
      <c r="A114" s="50" t="s">
        <v>447</v>
      </c>
      <c r="B114" s="50"/>
      <c r="C114" s="50"/>
      <c r="D114" s="51"/>
      <c r="E114" s="50"/>
      <c r="F114" s="52">
        <f>F112+F113</f>
        <v>82.3749333333333</v>
      </c>
    </row>
    <row r="115" spans="1:6">
      <c r="A115" s="50" t="s">
        <v>422</v>
      </c>
      <c r="B115" s="50"/>
      <c r="C115" s="50"/>
      <c r="D115" s="51"/>
      <c r="E115" s="50"/>
      <c r="F115" s="53">
        <v>2</v>
      </c>
    </row>
    <row r="116" spans="1:6">
      <c r="A116" s="50" t="s">
        <v>423</v>
      </c>
      <c r="B116" s="50"/>
      <c r="C116" s="50"/>
      <c r="D116" s="51"/>
      <c r="E116" s="50"/>
      <c r="F116" s="52">
        <f>TRUNC(F114/F115,2)</f>
        <v>41.18</v>
      </c>
    </row>
    <row r="117" ht="6" customHeight="1" spans="1:6">
      <c r="A117" s="54"/>
      <c r="B117" s="54"/>
      <c r="C117" s="54"/>
      <c r="D117" s="55"/>
      <c r="E117" s="54"/>
      <c r="F117" s="54"/>
    </row>
    <row r="118" ht="49" customHeight="1" spans="1:6">
      <c r="A118" s="56" t="s">
        <v>448</v>
      </c>
      <c r="B118" s="57"/>
      <c r="C118" s="57"/>
      <c r="D118" s="58"/>
      <c r="E118" s="57"/>
      <c r="F118" s="57"/>
    </row>
    <row r="119" ht="27" customHeight="1" spans="1:6">
      <c r="A119" s="57"/>
      <c r="B119" s="57"/>
      <c r="C119" s="57"/>
      <c r="D119" s="58"/>
      <c r="E119" s="57"/>
      <c r="F119" s="57"/>
    </row>
    <row r="120" spans="1:6">
      <c r="A120" s="57"/>
      <c r="B120" s="57"/>
      <c r="C120" s="57"/>
      <c r="D120" s="58"/>
      <c r="E120" s="57"/>
      <c r="F120" s="57"/>
    </row>
    <row r="121" spans="1:6">
      <c r="A121" s="57"/>
      <c r="B121" s="57"/>
      <c r="C121" s="57"/>
      <c r="D121" s="58"/>
      <c r="E121" s="57"/>
      <c r="F121" s="57"/>
    </row>
    <row r="122" spans="1:6">
      <c r="A122" s="57"/>
      <c r="B122" s="57"/>
      <c r="C122" s="57"/>
      <c r="D122" s="58"/>
      <c r="E122" s="57"/>
      <c r="F122" s="57"/>
    </row>
    <row r="123" spans="1:6">
      <c r="A123" s="57"/>
      <c r="B123" s="57"/>
      <c r="C123" s="57"/>
      <c r="D123" s="58"/>
      <c r="E123" s="57"/>
      <c r="F123" s="57"/>
    </row>
    <row r="124" spans="1:6">
      <c r="A124" s="57"/>
      <c r="B124" s="57"/>
      <c r="C124" s="57"/>
      <c r="D124" s="58"/>
      <c r="E124" s="57"/>
      <c r="F124" s="57"/>
    </row>
    <row r="125" spans="1:6">
      <c r="A125" s="57"/>
      <c r="B125" s="57"/>
      <c r="C125" s="57"/>
      <c r="D125" s="58"/>
      <c r="E125" s="57"/>
      <c r="F125" s="57"/>
    </row>
    <row r="126" spans="1:6">
      <c r="A126" s="57"/>
      <c r="B126" s="57"/>
      <c r="C126" s="57"/>
      <c r="D126" s="58"/>
      <c r="E126" s="57"/>
      <c r="F126" s="57"/>
    </row>
    <row r="127" spans="1:6">
      <c r="A127" s="57"/>
      <c r="B127" s="57"/>
      <c r="C127" s="57"/>
      <c r="D127" s="58"/>
      <c r="E127" s="57"/>
      <c r="F127" s="57"/>
    </row>
    <row r="128" spans="1:6">
      <c r="A128" s="34"/>
      <c r="B128" s="34"/>
      <c r="C128" s="34"/>
      <c r="D128" s="35"/>
      <c r="E128" s="34"/>
      <c r="F128" s="34"/>
    </row>
    <row r="129" spans="1:6">
      <c r="A129" s="34"/>
      <c r="B129" s="34"/>
      <c r="C129" s="34"/>
      <c r="D129" s="35"/>
      <c r="E129" s="34"/>
      <c r="F129" s="34"/>
    </row>
    <row r="131" spans="1:7">
      <c r="A131" s="59" t="s">
        <v>449</v>
      </c>
      <c r="B131" s="59"/>
      <c r="C131" s="59" t="s">
        <v>156</v>
      </c>
      <c r="D131" s="60"/>
      <c r="E131" s="59"/>
      <c r="F131" s="59"/>
      <c r="G131" s="59"/>
    </row>
    <row r="132" ht="45" spans="1:7">
      <c r="A132" s="4" t="s">
        <v>16</v>
      </c>
      <c r="B132" s="4" t="s">
        <v>450</v>
      </c>
      <c r="C132" s="4" t="s">
        <v>17</v>
      </c>
      <c r="D132" s="61" t="s">
        <v>451</v>
      </c>
      <c r="E132" s="4" t="s">
        <v>452</v>
      </c>
      <c r="F132" s="4" t="s">
        <v>453</v>
      </c>
      <c r="G132" s="4" t="s">
        <v>454</v>
      </c>
    </row>
    <row r="133" ht="60" spans="1:7">
      <c r="A133" s="61">
        <v>1</v>
      </c>
      <c r="B133" s="61" t="s">
        <v>455</v>
      </c>
      <c r="C133" s="62" t="s">
        <v>456</v>
      </c>
      <c r="D133" s="63">
        <v>64.34</v>
      </c>
      <c r="E133" s="64">
        <v>1</v>
      </c>
      <c r="F133" s="65">
        <f>Table43_2[[#This Row],[Quantidade Anual]]*Table43_2[[#This Row],[Valor Médio Unitário (R$)]]/2</f>
        <v>32.17</v>
      </c>
      <c r="G133" s="65">
        <f>Table43_2[[#This Row],[Valor Anual/ Empregado (R$)]]/12</f>
        <v>2.68083333333333</v>
      </c>
    </row>
    <row r="134" ht="90" spans="1:7">
      <c r="A134" s="61">
        <v>2</v>
      </c>
      <c r="B134" s="61" t="s">
        <v>457</v>
      </c>
      <c r="C134" s="62" t="s">
        <v>458</v>
      </c>
      <c r="D134" s="66">
        <v>1.44</v>
      </c>
      <c r="E134" s="64">
        <v>4</v>
      </c>
      <c r="F134" s="65">
        <f>Table43_2[[#This Row],[Quantidade Anual]]*Table43_2[[#This Row],[Valor Médio Unitário (R$)]]/2</f>
        <v>2.88</v>
      </c>
      <c r="G134" s="65">
        <f>Table43_2[[#This Row],[Valor Anual/ Empregado (R$)]]/12</f>
        <v>0.24</v>
      </c>
    </row>
    <row r="135" ht="45" spans="1:7">
      <c r="A135" s="61">
        <v>3</v>
      </c>
      <c r="B135" s="67" t="s">
        <v>459</v>
      </c>
      <c r="C135" s="62" t="s">
        <v>460</v>
      </c>
      <c r="D135" s="66">
        <v>43.9</v>
      </c>
      <c r="E135" s="64">
        <v>1</v>
      </c>
      <c r="F135" s="65">
        <f>Table43_2[[#This Row],[Quantidade Anual]]*Table43_2[[#This Row],[Valor Médio Unitário (R$)]]/2</f>
        <v>21.95</v>
      </c>
      <c r="G135" s="65">
        <f>Table43_2[[#This Row],[Valor Anual/ Empregado (R$)]]/12</f>
        <v>1.82916666666667</v>
      </c>
    </row>
    <row r="136" spans="1:7">
      <c r="A136" s="5" t="s">
        <v>58</v>
      </c>
      <c r="B136" s="5"/>
      <c r="C136" s="5"/>
      <c r="D136" s="68"/>
      <c r="E136" s="5"/>
      <c r="F136" s="5"/>
      <c r="G136" s="69">
        <f>SUBTOTAL(109,Table43_2[Valor Mensal/ Empregado])</f>
        <v>4.75</v>
      </c>
    </row>
  </sheetData>
  <mergeCells count="15">
    <mergeCell ref="A1:F1"/>
    <mergeCell ref="A83:D83"/>
    <mergeCell ref="E83:F83"/>
    <mergeCell ref="A84:D84"/>
    <mergeCell ref="E84:F84"/>
    <mergeCell ref="A85:D85"/>
    <mergeCell ref="E85:F85"/>
    <mergeCell ref="A89:F89"/>
    <mergeCell ref="A112:E112"/>
    <mergeCell ref="A113:E113"/>
    <mergeCell ref="A114:E114"/>
    <mergeCell ref="A115:E115"/>
    <mergeCell ref="A116:E116"/>
    <mergeCell ref="A131:G131"/>
    <mergeCell ref="A118:F127"/>
  </mergeCells>
  <pageMargins left="0.75" right="0.75" top="1" bottom="1" header="0.5" footer="0.5"/>
  <pageSetup paperSize="9" orientation="portrait"/>
  <headerFooter/>
  <tableParts count="2">
    <tablePart r:id="rId1"/>
    <tablePart r:id="rId2"/>
  </tablePar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A1" sqref="A1:F21"/>
    </sheetView>
  </sheetViews>
  <sheetFormatPr defaultColWidth="8.88571428571429" defaultRowHeight="15" outlineLevelCol="5"/>
  <cols>
    <col min="2" max="2" width="22.2190476190476" customWidth="1"/>
    <col min="3" max="3" width="21.1142857142857" customWidth="1"/>
    <col min="4" max="4" width="14.1142857142857" customWidth="1"/>
    <col min="5" max="5" width="12.3333333333333" customWidth="1"/>
    <col min="6" max="6" width="11.6666666666667" customWidth="1"/>
  </cols>
  <sheetData>
    <row r="1" spans="1:6">
      <c r="A1" s="11" t="s">
        <v>461</v>
      </c>
      <c r="B1" s="11"/>
      <c r="C1" s="11"/>
      <c r="D1" s="11"/>
      <c r="E1" s="11"/>
      <c r="F1" s="11"/>
    </row>
    <row r="2" spans="1:6">
      <c r="A2" s="12" t="s">
        <v>278</v>
      </c>
      <c r="B2" s="12" t="s">
        <v>280</v>
      </c>
      <c r="C2" s="12" t="s">
        <v>281</v>
      </c>
      <c r="D2" s="12" t="s">
        <v>283</v>
      </c>
      <c r="E2" s="12" t="s">
        <v>257</v>
      </c>
      <c r="F2" s="12" t="s">
        <v>340</v>
      </c>
    </row>
    <row r="3" spans="1:6">
      <c r="A3" s="12"/>
      <c r="B3" s="12"/>
      <c r="C3" s="12"/>
      <c r="D3" s="12"/>
      <c r="E3" s="12"/>
      <c r="F3" s="12"/>
    </row>
    <row r="4" spans="1:6">
      <c r="A4" s="12"/>
      <c r="B4" s="12"/>
      <c r="C4" s="12"/>
      <c r="D4" s="12"/>
      <c r="E4" s="12"/>
      <c r="F4" s="12"/>
    </row>
    <row r="5" spans="1:4">
      <c r="A5" s="13">
        <v>1</v>
      </c>
      <c r="B5" s="14" t="s">
        <v>462</v>
      </c>
      <c r="C5" s="14"/>
      <c r="D5" s="14"/>
    </row>
    <row r="6" ht="60" spans="1:6">
      <c r="A6" s="13"/>
      <c r="B6" s="15" t="s">
        <v>463</v>
      </c>
      <c r="C6" s="16" t="s">
        <v>288</v>
      </c>
      <c r="D6" s="16">
        <v>1</v>
      </c>
      <c r="E6" s="17">
        <v>32.87</v>
      </c>
      <c r="F6" s="17">
        <f t="shared" ref="F6:F18" si="0">TRUNC(E6*D6,2)</f>
        <v>32.87</v>
      </c>
    </row>
    <row r="7" spans="1:6">
      <c r="A7" s="13"/>
      <c r="B7" s="15" t="s">
        <v>464</v>
      </c>
      <c r="C7" s="16" t="s">
        <v>288</v>
      </c>
      <c r="D7" s="16">
        <v>1</v>
      </c>
      <c r="E7" s="17">
        <v>14.55</v>
      </c>
      <c r="F7" s="17">
        <f t="shared" si="0"/>
        <v>14.55</v>
      </c>
    </row>
    <row r="8" spans="1:6">
      <c r="A8" s="13"/>
      <c r="B8" s="15" t="s">
        <v>465</v>
      </c>
      <c r="C8" s="16" t="s">
        <v>466</v>
      </c>
      <c r="D8" s="16">
        <v>1</v>
      </c>
      <c r="E8" s="17">
        <v>73.39</v>
      </c>
      <c r="F8" s="17">
        <f t="shared" si="0"/>
        <v>73.39</v>
      </c>
    </row>
    <row r="9" spans="1:6">
      <c r="A9" s="13"/>
      <c r="B9" s="15" t="s">
        <v>467</v>
      </c>
      <c r="C9" s="16" t="s">
        <v>466</v>
      </c>
      <c r="D9" s="16">
        <v>1</v>
      </c>
      <c r="E9" s="17">
        <v>17.89</v>
      </c>
      <c r="F9" s="17">
        <f t="shared" si="0"/>
        <v>17.89</v>
      </c>
    </row>
    <row r="10" spans="1:6">
      <c r="A10" s="13"/>
      <c r="B10" s="15" t="s">
        <v>468</v>
      </c>
      <c r="C10" s="16" t="s">
        <v>469</v>
      </c>
      <c r="D10" s="16">
        <v>10</v>
      </c>
      <c r="E10" s="17">
        <v>1.5</v>
      </c>
      <c r="F10" s="17">
        <f t="shared" si="0"/>
        <v>15</v>
      </c>
    </row>
    <row r="11" spans="1:6">
      <c r="A11" s="13"/>
      <c r="B11" s="15" t="s">
        <v>470</v>
      </c>
      <c r="C11" s="16" t="s">
        <v>471</v>
      </c>
      <c r="D11" s="16">
        <v>2</v>
      </c>
      <c r="E11" s="17">
        <v>9.44</v>
      </c>
      <c r="F11" s="17">
        <f t="shared" si="0"/>
        <v>18.88</v>
      </c>
    </row>
    <row r="12" spans="1:6">
      <c r="A12" s="13"/>
      <c r="B12" s="15" t="s">
        <v>472</v>
      </c>
      <c r="C12" s="16" t="s">
        <v>471</v>
      </c>
      <c r="D12" s="16">
        <v>5</v>
      </c>
      <c r="E12" s="17">
        <v>0.81</v>
      </c>
      <c r="F12" s="17">
        <f t="shared" si="0"/>
        <v>4.05</v>
      </c>
    </row>
    <row r="13" ht="30" spans="1:6">
      <c r="A13" s="13"/>
      <c r="B13" s="15" t="s">
        <v>473</v>
      </c>
      <c r="C13" s="16" t="s">
        <v>474</v>
      </c>
      <c r="D13" s="16">
        <v>2</v>
      </c>
      <c r="E13" s="17">
        <v>3.4</v>
      </c>
      <c r="F13" s="17">
        <f t="shared" si="0"/>
        <v>6.8</v>
      </c>
    </row>
    <row r="14" ht="30" spans="1:6">
      <c r="A14" s="13"/>
      <c r="B14" s="15" t="s">
        <v>475</v>
      </c>
      <c r="C14" s="16" t="s">
        <v>474</v>
      </c>
      <c r="D14" s="16">
        <v>2</v>
      </c>
      <c r="E14" s="17">
        <v>3.35</v>
      </c>
      <c r="F14" s="17">
        <f t="shared" si="0"/>
        <v>6.7</v>
      </c>
    </row>
    <row r="15" ht="60" spans="1:6">
      <c r="A15" s="16">
        <v>2</v>
      </c>
      <c r="B15" s="15" t="s">
        <v>476</v>
      </c>
      <c r="C15" s="16" t="s">
        <v>471</v>
      </c>
      <c r="D15" s="16">
        <v>1</v>
      </c>
      <c r="E15" s="17">
        <v>356</v>
      </c>
      <c r="F15" s="17">
        <f t="shared" si="0"/>
        <v>356</v>
      </c>
    </row>
    <row r="16" ht="30" spans="1:6">
      <c r="A16" s="16">
        <v>3</v>
      </c>
      <c r="B16" s="15" t="s">
        <v>477</v>
      </c>
      <c r="C16" s="16" t="s">
        <v>296</v>
      </c>
      <c r="D16" s="16">
        <v>1</v>
      </c>
      <c r="E16" s="17">
        <v>887.88</v>
      </c>
      <c r="F16" s="17">
        <f t="shared" si="0"/>
        <v>887.88</v>
      </c>
    </row>
    <row r="17" ht="45" spans="1:6">
      <c r="A17" s="16">
        <v>4</v>
      </c>
      <c r="B17" s="15" t="s">
        <v>478</v>
      </c>
      <c r="C17" s="16" t="s">
        <v>288</v>
      </c>
      <c r="D17" s="16">
        <v>3</v>
      </c>
      <c r="E17" s="17">
        <v>21.55</v>
      </c>
      <c r="F17" s="17">
        <f t="shared" si="0"/>
        <v>64.65</v>
      </c>
    </row>
    <row r="18" ht="60" spans="1:6">
      <c r="A18" s="16">
        <v>5</v>
      </c>
      <c r="B18" s="15" t="s">
        <v>479</v>
      </c>
      <c r="C18" s="16" t="s">
        <v>288</v>
      </c>
      <c r="D18" s="16">
        <v>6</v>
      </c>
      <c r="E18" s="17">
        <v>37.5</v>
      </c>
      <c r="F18" s="17">
        <f t="shared" si="0"/>
        <v>225</v>
      </c>
    </row>
    <row r="19" spans="1:6">
      <c r="A19" s="18" t="s">
        <v>340</v>
      </c>
      <c r="B19" s="18"/>
      <c r="C19" s="18"/>
      <c r="D19" s="18"/>
      <c r="E19" s="19">
        <f>TRUNC(SUM(F6:F18),2)</f>
        <v>1723.66</v>
      </c>
      <c r="F19" s="19"/>
    </row>
    <row r="20" spans="1:6">
      <c r="A20" s="11" t="s">
        <v>480</v>
      </c>
      <c r="B20" s="11"/>
      <c r="C20" s="11"/>
      <c r="D20" s="11"/>
      <c r="E20" s="20">
        <v>17</v>
      </c>
      <c r="F20" s="20"/>
    </row>
    <row r="21" spans="1:6">
      <c r="A21" s="11" t="s">
        <v>423</v>
      </c>
      <c r="B21" s="11"/>
      <c r="C21" s="11"/>
      <c r="D21" s="11"/>
      <c r="E21" s="21">
        <f>TRUNC((E19/E20)/12,2)</f>
        <v>8.44</v>
      </c>
      <c r="F21" s="21"/>
    </row>
  </sheetData>
  <mergeCells count="15">
    <mergeCell ref="A1:F1"/>
    <mergeCell ref="B5:D5"/>
    <mergeCell ref="A19:D19"/>
    <mergeCell ref="E19:F19"/>
    <mergeCell ref="A20:D20"/>
    <mergeCell ref="E20:F20"/>
    <mergeCell ref="A21:D21"/>
    <mergeCell ref="E21:F21"/>
    <mergeCell ref="A2:A4"/>
    <mergeCell ref="A5:A14"/>
    <mergeCell ref="B2:B4"/>
    <mergeCell ref="C2:C4"/>
    <mergeCell ref="D2:D4"/>
    <mergeCell ref="E2:E4"/>
    <mergeCell ref="F2:F4"/>
  </mergeCells>
  <pageMargins left="0.75" right="0.75" top="1" bottom="1" header="0.5" footer="0.5"/>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topLeftCell="A2" workbookViewId="0">
      <selection activeCell="K14" sqref="K14"/>
    </sheetView>
  </sheetViews>
  <sheetFormatPr defaultColWidth="8.88571428571429" defaultRowHeight="15" outlineLevelCol="6"/>
  <cols>
    <col min="2" max="2" width="31" customWidth="1"/>
    <col min="3" max="3" width="9.33333333333333" customWidth="1"/>
    <col min="4" max="4" width="14.2190476190476" customWidth="1"/>
    <col min="5" max="5" width="13.3333333333333" customWidth="1"/>
    <col min="6" max="6" width="14.8857142857143" customWidth="1"/>
    <col min="7" max="7" width="15" customWidth="1"/>
  </cols>
  <sheetData>
    <row r="1" ht="15.75" spans="1:7">
      <c r="A1" s="1" t="s">
        <v>481</v>
      </c>
      <c r="B1" s="2"/>
      <c r="C1" s="2"/>
      <c r="D1" s="2"/>
      <c r="E1" s="2"/>
      <c r="F1" s="2"/>
      <c r="G1" s="3"/>
    </row>
    <row r="2" ht="60.75" spans="1:7">
      <c r="A2" s="4" t="s">
        <v>16</v>
      </c>
      <c r="B2" s="4" t="s">
        <v>17</v>
      </c>
      <c r="C2" s="4" t="s">
        <v>288</v>
      </c>
      <c r="D2" s="4" t="s">
        <v>482</v>
      </c>
      <c r="E2" s="4" t="s">
        <v>483</v>
      </c>
      <c r="F2" s="4" t="s">
        <v>484</v>
      </c>
      <c r="G2" s="4" t="s">
        <v>485</v>
      </c>
    </row>
    <row r="3" ht="90" spans="1:7">
      <c r="A3" s="5">
        <v>1</v>
      </c>
      <c r="B3" s="6" t="s">
        <v>486</v>
      </c>
      <c r="C3" s="4" t="s">
        <v>487</v>
      </c>
      <c r="D3" s="5">
        <v>10</v>
      </c>
      <c r="E3" s="5">
        <v>12</v>
      </c>
      <c r="F3" s="7">
        <f>'Auxiliar Administrativo'!D147</f>
        <v>3110.04</v>
      </c>
      <c r="G3" s="7">
        <f t="shared" ref="G3:G8" si="0">(D3*F3)*(E3)</f>
        <v>373204.8</v>
      </c>
    </row>
    <row r="4" ht="75" spans="1:7">
      <c r="A4" s="5">
        <v>2</v>
      </c>
      <c r="B4" s="6" t="s">
        <v>488</v>
      </c>
      <c r="C4" s="4" t="s">
        <v>487</v>
      </c>
      <c r="D4" s="5">
        <v>1</v>
      </c>
      <c r="E4" s="5">
        <v>12</v>
      </c>
      <c r="F4" s="7">
        <f>'Copeiro (a)'!D147</f>
        <v>3018.13</v>
      </c>
      <c r="G4" s="7">
        <f t="shared" si="0"/>
        <v>36217.56</v>
      </c>
    </row>
    <row r="5" ht="135" spans="1:7">
      <c r="A5" s="5">
        <v>3</v>
      </c>
      <c r="B5" s="6" t="s">
        <v>489</v>
      </c>
      <c r="C5" s="4" t="s">
        <v>487</v>
      </c>
      <c r="D5" s="5">
        <v>2</v>
      </c>
      <c r="E5" s="5">
        <v>12</v>
      </c>
      <c r="F5" s="7">
        <f>Portaria!D148</f>
        <v>6224.22</v>
      </c>
      <c r="G5" s="7">
        <f t="shared" si="0"/>
        <v>149381.28</v>
      </c>
    </row>
    <row r="6" ht="90" spans="1:7">
      <c r="A6" s="5">
        <v>4</v>
      </c>
      <c r="B6" s="6" t="s">
        <v>490</v>
      </c>
      <c r="C6" s="4" t="s">
        <v>487</v>
      </c>
      <c r="D6" s="5">
        <v>2</v>
      </c>
      <c r="E6" s="5">
        <v>12</v>
      </c>
      <c r="F6" s="7">
        <f>'Motorista Interestadual'!D147</f>
        <v>6466.43</v>
      </c>
      <c r="G6" s="7">
        <f t="shared" si="0"/>
        <v>155194.32</v>
      </c>
    </row>
    <row r="7" ht="75" spans="1:7">
      <c r="A7" s="5">
        <v>5</v>
      </c>
      <c r="B7" s="6" t="s">
        <v>491</v>
      </c>
      <c r="C7" s="4" t="s">
        <v>487</v>
      </c>
      <c r="D7" s="5">
        <v>1</v>
      </c>
      <c r="E7" s="5">
        <v>12</v>
      </c>
      <c r="F7" s="7">
        <f>Eletricista!D147</f>
        <v>5315.26</v>
      </c>
      <c r="G7" s="7">
        <f t="shared" si="0"/>
        <v>63783.12</v>
      </c>
    </row>
    <row r="8" ht="105" spans="1:7">
      <c r="A8" s="5">
        <v>6</v>
      </c>
      <c r="B8" s="6" t="s">
        <v>492</v>
      </c>
      <c r="C8" s="4" t="s">
        <v>487</v>
      </c>
      <c r="D8" s="5">
        <v>1</v>
      </c>
      <c r="E8" s="5">
        <v>12</v>
      </c>
      <c r="F8" s="7">
        <f>'Aulixiar de Manutenção Predial'!D147</f>
        <v>4455.36</v>
      </c>
      <c r="G8" s="7">
        <f t="shared" si="0"/>
        <v>53464.32</v>
      </c>
    </row>
    <row r="9" ht="30" spans="1:7">
      <c r="A9" s="5">
        <v>7</v>
      </c>
      <c r="B9" s="6" t="s">
        <v>493</v>
      </c>
      <c r="C9" s="4" t="s">
        <v>487</v>
      </c>
      <c r="D9" s="5">
        <v>48</v>
      </c>
      <c r="E9" s="5">
        <v>12</v>
      </c>
      <c r="F9" s="7">
        <f>Diárias!E19</f>
        <v>190.08</v>
      </c>
      <c r="G9" s="7">
        <f>F9*D9</f>
        <v>9123.84</v>
      </c>
    </row>
    <row r="10" spans="1:7">
      <c r="A10" s="8" t="s">
        <v>204</v>
      </c>
      <c r="B10" s="8"/>
      <c r="C10" s="8"/>
      <c r="D10" s="8"/>
      <c r="E10" s="8"/>
      <c r="F10" s="8"/>
      <c r="G10" s="9">
        <f>SUM(G3:G9)</f>
        <v>840369.24</v>
      </c>
    </row>
    <row r="11" spans="1:7">
      <c r="A11" s="10"/>
      <c r="B11" s="10"/>
      <c r="C11" s="10"/>
      <c r="D11" s="10"/>
      <c r="E11" s="10"/>
      <c r="F11" s="10"/>
      <c r="G11" s="10"/>
    </row>
    <row r="12" spans="1:7">
      <c r="A12" s="8"/>
      <c r="B12" s="8"/>
      <c r="C12" s="8"/>
      <c r="D12" s="8"/>
      <c r="E12" s="8"/>
      <c r="F12" s="8"/>
      <c r="G12" s="8"/>
    </row>
    <row r="13" spans="1:7">
      <c r="A13" s="8"/>
      <c r="B13" s="8"/>
      <c r="C13" s="8"/>
      <c r="D13" s="8"/>
      <c r="E13" s="8"/>
      <c r="F13" s="8"/>
      <c r="G13" s="8"/>
    </row>
  </sheetData>
  <mergeCells count="1">
    <mergeCell ref="A1:G1"/>
  </mergeCells>
  <pageMargins left="0.75" right="0.75" top="1" bottom="1" header="0.5" footer="0.5"/>
  <pageSetup paperSize="9" orientation="landscape"/>
  <headerFooter/>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48"/>
  <sheetViews>
    <sheetView showGridLines="0" zoomScale="85" zoomScaleNormal="85" workbookViewId="0">
      <selection activeCell="A1" sqref="A1:D1"/>
    </sheetView>
  </sheetViews>
  <sheetFormatPr defaultColWidth="9" defaultRowHeight="15"/>
  <cols>
    <col min="1" max="1" width="12.4190476190476" customWidth="1"/>
    <col min="2" max="2" width="76.4095238095238" customWidth="1"/>
    <col min="3" max="3" width="28.4190476190476" customWidth="1"/>
    <col min="4" max="4" width="27.4190476190476" customWidth="1"/>
    <col min="5" max="5" width="9" customWidth="1"/>
    <col min="6" max="6" width="32.7142857142857" customWidth="1"/>
    <col min="7" max="7" width="13.0190476190476" customWidth="1"/>
    <col min="8" max="1025" width="9" customWidth="1"/>
  </cols>
  <sheetData>
    <row r="1" spans="1:21">
      <c r="A1" s="301" t="s">
        <v>14</v>
      </c>
      <c r="B1" s="301"/>
      <c r="C1" s="301"/>
      <c r="D1" s="301"/>
      <c r="F1" s="244" t="s">
        <v>15</v>
      </c>
      <c r="G1" s="244"/>
      <c r="H1" s="254"/>
      <c r="I1" s="254"/>
      <c r="J1" s="254"/>
      <c r="K1" s="254"/>
      <c r="L1" s="254"/>
      <c r="M1" s="254"/>
      <c r="N1" s="254"/>
      <c r="O1" s="254"/>
      <c r="P1" s="254"/>
      <c r="Q1" s="254"/>
      <c r="R1" s="254"/>
      <c r="S1" s="254"/>
      <c r="T1" s="254"/>
      <c r="U1" s="254"/>
    </row>
    <row r="2" spans="1:21">
      <c r="A2" s="245" t="s">
        <v>16</v>
      </c>
      <c r="B2" t="s">
        <v>17</v>
      </c>
      <c r="C2" s="245" t="s">
        <v>18</v>
      </c>
      <c r="D2" s="245" t="s">
        <v>19</v>
      </c>
      <c r="F2" s="249" t="s">
        <v>17</v>
      </c>
      <c r="G2" s="249" t="s">
        <v>19</v>
      </c>
      <c r="H2" s="254"/>
      <c r="I2" s="254"/>
      <c r="J2" s="254"/>
      <c r="K2" s="254"/>
      <c r="L2" s="254"/>
      <c r="M2" s="254"/>
      <c r="N2" s="254"/>
      <c r="O2" s="254"/>
      <c r="P2" s="254"/>
      <c r="Q2" s="254"/>
      <c r="R2" s="254"/>
      <c r="S2" s="254"/>
      <c r="T2" s="254"/>
      <c r="U2" s="254"/>
    </row>
    <row r="3" spans="1:21">
      <c r="A3" s="245">
        <v>1</v>
      </c>
      <c r="B3" t="s">
        <v>20</v>
      </c>
      <c r="C3" s="245"/>
      <c r="D3" s="245" t="s">
        <v>21</v>
      </c>
      <c r="F3" t="s">
        <v>22</v>
      </c>
      <c r="G3" s="302">
        <v>0</v>
      </c>
      <c r="H3" s="254"/>
      <c r="I3" s="254"/>
      <c r="J3" s="254"/>
      <c r="K3" s="254"/>
      <c r="L3" s="254"/>
      <c r="M3" s="254"/>
      <c r="N3" s="254"/>
      <c r="O3" s="254"/>
      <c r="P3" s="254"/>
      <c r="Q3" s="254"/>
      <c r="R3" s="254"/>
      <c r="S3" s="254"/>
      <c r="T3" s="254"/>
      <c r="U3" s="254"/>
    </row>
    <row r="4" spans="1:21">
      <c r="A4" s="245">
        <v>2</v>
      </c>
      <c r="B4" t="s">
        <v>23</v>
      </c>
      <c r="C4" s="245"/>
      <c r="D4" s="245" t="s">
        <v>24</v>
      </c>
      <c r="F4" t="s">
        <v>25</v>
      </c>
      <c r="G4" s="302">
        <v>12</v>
      </c>
      <c r="H4" s="254"/>
      <c r="I4" s="254"/>
      <c r="J4" s="254"/>
      <c r="K4" s="254"/>
      <c r="L4" s="254"/>
      <c r="M4" s="254"/>
      <c r="N4" s="254"/>
      <c r="O4" s="254"/>
      <c r="P4" s="254"/>
      <c r="Q4" s="254"/>
      <c r="R4" s="254"/>
      <c r="S4" s="254"/>
      <c r="T4" s="254"/>
      <c r="U4" s="254"/>
    </row>
    <row r="5" spans="1:21">
      <c r="A5" s="245">
        <v>3</v>
      </c>
      <c r="B5" t="s">
        <v>26</v>
      </c>
      <c r="C5" s="245" t="s">
        <v>27</v>
      </c>
      <c r="D5" s="303">
        <v>998</v>
      </c>
      <c r="F5" t="s">
        <v>28</v>
      </c>
      <c r="G5" s="246">
        <v>22</v>
      </c>
      <c r="H5" s="254"/>
      <c r="I5" s="254"/>
      <c r="J5" s="254"/>
      <c r="K5" s="254"/>
      <c r="L5" s="254"/>
      <c r="M5" s="254"/>
      <c r="N5" s="254"/>
      <c r="O5" s="254"/>
      <c r="P5" s="254"/>
      <c r="Q5" s="254"/>
      <c r="R5" s="254"/>
      <c r="S5" s="254"/>
      <c r="T5" s="254"/>
      <c r="U5" s="254"/>
    </row>
    <row r="6" spans="1:21">
      <c r="A6" s="245">
        <v>4</v>
      </c>
      <c r="B6" t="s">
        <v>29</v>
      </c>
      <c r="C6" s="245" t="s">
        <v>30</v>
      </c>
      <c r="D6" s="245" t="s">
        <v>31</v>
      </c>
      <c r="F6" t="s">
        <v>32</v>
      </c>
      <c r="G6" s="304">
        <v>0.03</v>
      </c>
      <c r="H6" s="254"/>
      <c r="I6" s="254"/>
      <c r="J6" s="254"/>
      <c r="K6" s="254"/>
      <c r="L6" s="254"/>
      <c r="M6" s="254"/>
      <c r="N6" s="254"/>
      <c r="O6" s="254"/>
      <c r="P6" s="254"/>
      <c r="Q6" s="254"/>
      <c r="R6" s="254"/>
      <c r="S6" s="254"/>
      <c r="T6" s="254"/>
      <c r="U6" s="254"/>
    </row>
    <row r="7" spans="1:21">
      <c r="A7" s="245">
        <v>5</v>
      </c>
      <c r="B7" t="s">
        <v>33</v>
      </c>
      <c r="C7" s="245"/>
      <c r="D7" s="245" t="s">
        <v>34</v>
      </c>
      <c r="H7" s="254"/>
      <c r="I7" s="254"/>
      <c r="J7" s="254"/>
      <c r="K7" s="254"/>
      <c r="L7" s="254"/>
      <c r="M7" s="254"/>
      <c r="N7" s="254"/>
      <c r="O7" s="254"/>
      <c r="P7" s="254"/>
      <c r="Q7" s="254"/>
      <c r="R7" s="254"/>
      <c r="S7" s="254"/>
      <c r="T7" s="254"/>
      <c r="U7" s="254"/>
    </row>
    <row r="8" spans="6:21">
      <c r="F8" s="244" t="s">
        <v>35</v>
      </c>
      <c r="G8" s="244"/>
      <c r="H8" s="254"/>
      <c r="I8" s="254"/>
      <c r="J8" s="254"/>
      <c r="K8" s="254"/>
      <c r="L8" s="254"/>
      <c r="M8" s="254"/>
      <c r="N8" s="254"/>
      <c r="O8" s="254"/>
      <c r="P8" s="254"/>
      <c r="Q8" s="254"/>
      <c r="R8" s="254"/>
      <c r="S8" s="254"/>
      <c r="T8" s="254"/>
      <c r="U8" s="254"/>
    </row>
    <row r="9" spans="1:21">
      <c r="A9" s="228" t="s">
        <v>36</v>
      </c>
      <c r="B9" s="228"/>
      <c r="C9" s="228"/>
      <c r="D9" s="228"/>
      <c r="F9" s="249" t="s">
        <v>37</v>
      </c>
      <c r="G9" s="249" t="s">
        <v>38</v>
      </c>
      <c r="H9" s="254"/>
      <c r="I9" s="254"/>
      <c r="J9" s="254"/>
      <c r="K9" s="254"/>
      <c r="L9" s="254"/>
      <c r="M9" s="254"/>
      <c r="N9" s="254"/>
      <c r="O9" s="254"/>
      <c r="P9" s="254"/>
      <c r="Q9" s="254"/>
      <c r="R9" s="254"/>
      <c r="S9" s="254"/>
      <c r="T9" s="254"/>
      <c r="U9" s="254"/>
    </row>
    <row r="10" spans="1:21">
      <c r="A10" s="245" t="s">
        <v>39</v>
      </c>
      <c r="B10" s="249" t="s">
        <v>40</v>
      </c>
      <c r="C10" s="245" t="s">
        <v>18</v>
      </c>
      <c r="D10" s="245" t="s">
        <v>19</v>
      </c>
      <c r="F10" t="s">
        <v>41</v>
      </c>
      <c r="G10" s="250">
        <v>0.4337</v>
      </c>
      <c r="H10" s="254"/>
      <c r="I10" s="254"/>
      <c r="J10" s="254"/>
      <c r="K10" s="254"/>
      <c r="L10" s="254"/>
      <c r="M10" s="254"/>
      <c r="N10" s="254"/>
      <c r="O10" s="254"/>
      <c r="P10" s="254"/>
      <c r="Q10" s="254"/>
      <c r="R10" s="254"/>
      <c r="S10" s="254"/>
      <c r="T10" s="254"/>
      <c r="U10" s="254"/>
    </row>
    <row r="11" spans="1:21">
      <c r="A11" s="245" t="s">
        <v>42</v>
      </c>
      <c r="B11" t="s">
        <v>43</v>
      </c>
      <c r="C11" s="245"/>
      <c r="D11" s="251">
        <f>Salário_Normativo_da_Categoria_Profissional</f>
        <v>998</v>
      </c>
      <c r="F11" t="s">
        <v>44</v>
      </c>
      <c r="G11" s="250">
        <v>0.4337</v>
      </c>
      <c r="H11" s="254"/>
      <c r="I11" s="254"/>
      <c r="J11" s="254"/>
      <c r="K11" s="254"/>
      <c r="L11" s="254"/>
      <c r="M11" s="254"/>
      <c r="N11" s="254"/>
      <c r="O11" s="254"/>
      <c r="P11" s="254"/>
      <c r="Q11" s="254"/>
      <c r="R11" s="254"/>
      <c r="S11" s="254"/>
      <c r="T11" s="254"/>
      <c r="U11" s="254"/>
    </row>
    <row r="12" spans="1:21">
      <c r="A12" s="245" t="s">
        <v>45</v>
      </c>
      <c r="B12" t="s">
        <v>46</v>
      </c>
      <c r="C12" s="245"/>
      <c r="D12" s="251"/>
      <c r="F12" t="s">
        <v>47</v>
      </c>
      <c r="G12" s="250">
        <v>0.0218</v>
      </c>
      <c r="H12" s="254"/>
      <c r="I12" s="254"/>
      <c r="J12" s="254"/>
      <c r="K12" s="254"/>
      <c r="L12" s="254"/>
      <c r="M12" s="254"/>
      <c r="N12" s="254"/>
      <c r="O12" s="254"/>
      <c r="P12" s="254"/>
      <c r="Q12" s="254"/>
      <c r="R12" s="254"/>
      <c r="S12" s="254"/>
      <c r="T12" s="254"/>
      <c r="U12" s="254"/>
    </row>
    <row r="13" spans="1:21">
      <c r="A13" s="245" t="s">
        <v>48</v>
      </c>
      <c r="B13" t="s">
        <v>49</v>
      </c>
      <c r="C13" s="245"/>
      <c r="D13" s="251"/>
      <c r="H13" s="254"/>
      <c r="I13" s="254"/>
      <c r="J13" s="254"/>
      <c r="K13" s="254"/>
      <c r="L13" s="254"/>
      <c r="M13" s="254"/>
      <c r="N13" s="254"/>
      <c r="O13" s="254"/>
      <c r="P13" s="254"/>
      <c r="Q13" s="254"/>
      <c r="R13" s="254"/>
      <c r="S13" s="254"/>
      <c r="T13" s="254"/>
      <c r="U13" s="254"/>
    </row>
    <row r="14" spans="1:21">
      <c r="A14" s="245" t="s">
        <v>50</v>
      </c>
      <c r="B14" t="s">
        <v>51</v>
      </c>
      <c r="C14" s="245"/>
      <c r="D14" s="251"/>
      <c r="F14" s="244" t="s">
        <v>52</v>
      </c>
      <c r="G14" s="244"/>
      <c r="H14" s="254"/>
      <c r="I14" s="254"/>
      <c r="J14" s="254"/>
      <c r="K14" s="254"/>
      <c r="L14" s="254"/>
      <c r="M14" s="254"/>
      <c r="N14" s="254"/>
      <c r="O14" s="254"/>
      <c r="P14" s="254"/>
      <c r="Q14" s="254"/>
      <c r="R14" s="254"/>
      <c r="S14" s="254"/>
      <c r="T14" s="254"/>
      <c r="U14" s="254"/>
    </row>
    <row r="15" spans="1:21">
      <c r="A15" s="245" t="s">
        <v>53</v>
      </c>
      <c r="B15" t="s">
        <v>54</v>
      </c>
      <c r="C15" s="245"/>
      <c r="D15" s="251"/>
      <c r="F15" s="305" t="s">
        <v>17</v>
      </c>
      <c r="G15" s="305" t="s">
        <v>38</v>
      </c>
      <c r="H15" s="254"/>
      <c r="I15" s="254"/>
      <c r="J15" s="254"/>
      <c r="K15" s="254"/>
      <c r="L15" s="254"/>
      <c r="M15" s="254"/>
      <c r="N15" s="254"/>
      <c r="O15" s="254"/>
      <c r="P15" s="254"/>
      <c r="Q15" s="254"/>
      <c r="R15" s="254"/>
      <c r="S15" s="254"/>
      <c r="T15" s="254"/>
      <c r="U15" s="254"/>
    </row>
    <row r="16" spans="1:21">
      <c r="A16" s="245" t="s">
        <v>55</v>
      </c>
      <c r="B16" t="s">
        <v>56</v>
      </c>
      <c r="C16" s="245"/>
      <c r="D16" s="251"/>
      <c r="F16" s="254" t="s">
        <v>57</v>
      </c>
      <c r="G16" s="306">
        <v>0.0471</v>
      </c>
      <c r="H16" s="254"/>
      <c r="I16" s="254"/>
      <c r="J16" s="254"/>
      <c r="K16" s="254"/>
      <c r="L16" s="254"/>
      <c r="M16" s="254"/>
      <c r="N16" s="254"/>
      <c r="O16" s="254"/>
      <c r="P16" s="254"/>
      <c r="Q16" s="254"/>
      <c r="R16" s="254"/>
      <c r="S16" s="254"/>
      <c r="T16" s="254"/>
      <c r="U16" s="254"/>
    </row>
    <row r="17" spans="1:21">
      <c r="A17" s="245" t="s">
        <v>58</v>
      </c>
      <c r="C17" s="245"/>
      <c r="D17" s="251">
        <f>SUBTOTAL(109,Módulo1[Valor])</f>
        <v>998</v>
      </c>
      <c r="F17" s="254" t="s">
        <v>59</v>
      </c>
      <c r="G17" s="306">
        <v>0.0467</v>
      </c>
      <c r="H17" s="254"/>
      <c r="I17" s="254"/>
      <c r="J17" s="254"/>
      <c r="K17" s="254"/>
      <c r="L17" s="254"/>
      <c r="M17" s="254"/>
      <c r="N17" s="254"/>
      <c r="O17" s="254"/>
      <c r="P17" s="254"/>
      <c r="Q17" s="254"/>
      <c r="R17" s="254"/>
      <c r="S17" s="254"/>
      <c r="T17" s="254"/>
      <c r="U17" s="254"/>
    </row>
    <row r="18" spans="6:21">
      <c r="F18" s="254" t="s">
        <v>60</v>
      </c>
      <c r="G18" s="307">
        <v>0.0165</v>
      </c>
      <c r="H18" s="254"/>
      <c r="I18" s="254"/>
      <c r="J18" s="254"/>
      <c r="K18" s="254"/>
      <c r="L18" s="254"/>
      <c r="M18" s="254"/>
      <c r="N18" s="254"/>
      <c r="O18" s="254"/>
      <c r="P18" s="254"/>
      <c r="Q18" s="254"/>
      <c r="R18" s="254"/>
      <c r="S18" s="254"/>
      <c r="T18" s="254"/>
      <c r="U18" s="254"/>
    </row>
    <row r="19" spans="1:21">
      <c r="A19" s="252" t="s">
        <v>61</v>
      </c>
      <c r="B19" s="252"/>
      <c r="C19" s="252"/>
      <c r="D19" s="252"/>
      <c r="F19" s="254" t="s">
        <v>62</v>
      </c>
      <c r="G19" s="307">
        <v>0.076</v>
      </c>
      <c r="H19" s="254"/>
      <c r="I19" s="254"/>
      <c r="J19" s="254"/>
      <c r="K19" s="254"/>
      <c r="L19" s="254"/>
      <c r="M19" s="254"/>
      <c r="N19" s="254"/>
      <c r="O19" s="254"/>
      <c r="P19" s="254"/>
      <c r="Q19" s="254"/>
      <c r="R19" s="254"/>
      <c r="S19" s="254"/>
      <c r="T19" s="254"/>
      <c r="U19" s="254"/>
    </row>
    <row r="20" spans="1:21">
      <c r="A20" s="244" t="s">
        <v>63</v>
      </c>
      <c r="B20" s="244"/>
      <c r="C20" s="244"/>
      <c r="D20" s="244"/>
      <c r="F20" s="254" t="s">
        <v>64</v>
      </c>
      <c r="G20" s="307">
        <v>0.05</v>
      </c>
      <c r="H20" s="254"/>
      <c r="I20" s="254"/>
      <c r="J20" s="254"/>
      <c r="K20" s="254"/>
      <c r="L20" s="254"/>
      <c r="M20" s="254"/>
      <c r="N20" s="254"/>
      <c r="O20" s="254"/>
      <c r="P20" s="254"/>
      <c r="Q20" s="254"/>
      <c r="R20" s="254"/>
      <c r="S20" s="254"/>
      <c r="T20" s="254"/>
      <c r="U20" s="254"/>
    </row>
    <row r="21" spans="1:21">
      <c r="A21" s="245" t="s">
        <v>65</v>
      </c>
      <c r="B21" s="249" t="s">
        <v>66</v>
      </c>
      <c r="C21" s="245" t="s">
        <v>18</v>
      </c>
      <c r="D21" s="245" t="s">
        <v>19</v>
      </c>
      <c r="F21" s="254"/>
      <c r="G21" s="254"/>
      <c r="H21" s="254"/>
      <c r="I21" s="254"/>
      <c r="J21" s="254"/>
      <c r="K21" s="254"/>
      <c r="L21" s="254"/>
      <c r="M21" s="254"/>
      <c r="N21" s="254"/>
      <c r="O21" s="254"/>
      <c r="P21" s="254"/>
      <c r="Q21" s="254"/>
      <c r="R21" s="254"/>
      <c r="S21" s="254"/>
      <c r="T21" s="254"/>
      <c r="U21" s="254"/>
    </row>
    <row r="22" spans="1:21">
      <c r="A22" s="245" t="s">
        <v>42</v>
      </c>
      <c r="B22" t="s">
        <v>67</v>
      </c>
      <c r="D22" s="251">
        <f>Módulo1[[#Totals],[Valor]]/12</f>
        <v>83.1666666666667</v>
      </c>
      <c r="F22" s="254"/>
      <c r="G22" s="254"/>
      <c r="H22" s="254"/>
      <c r="I22" s="254"/>
      <c r="J22" s="254"/>
      <c r="K22" s="254"/>
      <c r="L22" s="254"/>
      <c r="M22" s="254"/>
      <c r="N22" s="254"/>
      <c r="O22" s="254"/>
      <c r="P22" s="254"/>
      <c r="Q22" s="254"/>
      <c r="R22" s="254"/>
      <c r="S22" s="254"/>
      <c r="T22" s="254"/>
      <c r="U22" s="254"/>
    </row>
    <row r="23" spans="1:21">
      <c r="A23" s="245" t="s">
        <v>45</v>
      </c>
      <c r="B23" t="s">
        <v>68</v>
      </c>
      <c r="D23" s="251">
        <f>(Módulo1[[#Totals],[Valor]]/12)*(1+(1/3))</f>
        <v>110.888888888889</v>
      </c>
      <c r="F23" s="254"/>
      <c r="G23" s="254"/>
      <c r="H23" s="254"/>
      <c r="I23" s="254"/>
      <c r="J23" s="254"/>
      <c r="K23" s="254"/>
      <c r="L23" s="254"/>
      <c r="M23" s="254"/>
      <c r="N23" s="254"/>
      <c r="O23" s="254"/>
      <c r="P23" s="254"/>
      <c r="Q23" s="254"/>
      <c r="R23" s="254"/>
      <c r="S23" s="254"/>
      <c r="T23" s="254"/>
      <c r="U23" s="254"/>
    </row>
    <row r="24" spans="1:21">
      <c r="A24" s="245" t="s">
        <v>58</v>
      </c>
      <c r="D24" s="251">
        <f>SUBTOTAL(109,Submódulo2.1[Valor])</f>
        <v>194.055555555556</v>
      </c>
      <c r="F24" s="254"/>
      <c r="G24" s="254"/>
      <c r="H24" s="254"/>
      <c r="I24" s="254"/>
      <c r="J24" s="254"/>
      <c r="K24" s="254"/>
      <c r="L24" s="254"/>
      <c r="M24" s="254"/>
      <c r="N24" s="254"/>
      <c r="O24" s="254"/>
      <c r="P24" s="254"/>
      <c r="Q24" s="254"/>
      <c r="R24" s="254"/>
      <c r="S24" s="254"/>
      <c r="T24" s="254"/>
      <c r="U24" s="254"/>
    </row>
    <row r="25" spans="1:21">
      <c r="A25" s="245"/>
      <c r="D25" s="251"/>
      <c r="F25" s="254"/>
      <c r="G25" s="254"/>
      <c r="H25" s="254"/>
      <c r="I25" s="254"/>
      <c r="J25" s="254"/>
      <c r="K25" s="254"/>
      <c r="L25" s="254"/>
      <c r="M25" s="254"/>
      <c r="N25" s="254"/>
      <c r="O25" s="254"/>
      <c r="P25" s="254"/>
      <c r="Q25" s="254"/>
      <c r="R25" s="254"/>
      <c r="S25" s="254"/>
      <c r="T25" s="254"/>
      <c r="U25" s="254"/>
    </row>
    <row r="26" spans="1:21">
      <c r="A26" s="308" t="s">
        <v>69</v>
      </c>
      <c r="B26" s="308"/>
      <c r="C26" s="308"/>
      <c r="D26" s="308"/>
      <c r="F26" s="254"/>
      <c r="G26" s="254"/>
      <c r="H26" s="254"/>
      <c r="I26" s="254"/>
      <c r="J26" s="254"/>
      <c r="K26" s="254"/>
      <c r="L26" s="254"/>
      <c r="M26" s="254"/>
      <c r="N26" s="254"/>
      <c r="O26" s="254"/>
      <c r="P26" s="254"/>
      <c r="Q26" s="254"/>
      <c r="R26" s="254"/>
      <c r="S26" s="254"/>
      <c r="T26" s="254"/>
      <c r="U26" s="254"/>
    </row>
    <row r="27" spans="1:21">
      <c r="A27" s="308" t="s">
        <v>16</v>
      </c>
      <c r="B27" s="308" t="s">
        <v>70</v>
      </c>
      <c r="C27" s="308" t="s">
        <v>71</v>
      </c>
      <c r="D27" s="309" t="s">
        <v>72</v>
      </c>
      <c r="F27" s="254"/>
      <c r="G27" s="254"/>
      <c r="H27" s="254"/>
      <c r="I27" s="254"/>
      <c r="J27" s="254"/>
      <c r="K27" s="254"/>
      <c r="L27" s="254"/>
      <c r="M27" s="254"/>
      <c r="N27" s="254"/>
      <c r="O27" s="254"/>
      <c r="P27" s="254"/>
      <c r="Q27" s="254"/>
      <c r="R27" s="254"/>
      <c r="S27" s="254"/>
      <c r="T27" s="254"/>
      <c r="U27" s="254"/>
    </row>
    <row r="28" ht="30" spans="1:21">
      <c r="A28" s="263" t="s">
        <v>42</v>
      </c>
      <c r="B28" s="310" t="s">
        <v>73</v>
      </c>
      <c r="C28" s="311" t="s">
        <v>74</v>
      </c>
      <c r="D28" s="310" t="s">
        <v>75</v>
      </c>
      <c r="F28" s="254"/>
      <c r="G28" s="254"/>
      <c r="H28" s="254"/>
      <c r="I28" s="254"/>
      <c r="J28" s="254"/>
      <c r="K28" s="254"/>
      <c r="L28" s="254"/>
      <c r="M28" s="254"/>
      <c r="N28" s="254"/>
      <c r="O28" s="254"/>
      <c r="P28" s="254"/>
      <c r="Q28" s="254"/>
      <c r="R28" s="254"/>
      <c r="S28" s="254"/>
      <c r="T28" s="254"/>
      <c r="U28" s="254"/>
    </row>
    <row r="29" ht="30" spans="1:21">
      <c r="A29" s="263" t="s">
        <v>45</v>
      </c>
      <c r="B29" s="312" t="s">
        <v>68</v>
      </c>
      <c r="C29" s="311" t="s">
        <v>74</v>
      </c>
      <c r="D29" s="310" t="s">
        <v>76</v>
      </c>
      <c r="F29" s="254"/>
      <c r="G29" s="254"/>
      <c r="H29" s="254"/>
      <c r="I29" s="254"/>
      <c r="J29" s="254"/>
      <c r="K29" s="254"/>
      <c r="L29" s="254"/>
      <c r="M29" s="254"/>
      <c r="N29" s="254"/>
      <c r="O29" s="254"/>
      <c r="P29" s="254"/>
      <c r="Q29" s="254"/>
      <c r="R29" s="254"/>
      <c r="S29" s="254"/>
      <c r="T29" s="254"/>
      <c r="U29" s="254"/>
    </row>
    <row r="30" spans="1:21">
      <c r="A30" s="245"/>
      <c r="B30" s="245"/>
      <c r="C30" s="274"/>
      <c r="F30" s="254"/>
      <c r="G30" s="254"/>
      <c r="H30" s="254"/>
      <c r="I30" s="254"/>
      <c r="J30" s="254"/>
      <c r="K30" s="254"/>
      <c r="L30" s="254"/>
      <c r="M30" s="254"/>
      <c r="N30" s="254"/>
      <c r="O30" s="254"/>
      <c r="P30" s="254"/>
      <c r="Q30" s="254"/>
      <c r="R30" s="254"/>
      <c r="S30" s="254"/>
      <c r="T30" s="254"/>
      <c r="U30" s="254"/>
    </row>
    <row r="31" spans="1:4">
      <c r="A31" s="244" t="s">
        <v>77</v>
      </c>
      <c r="B31" s="244"/>
      <c r="C31" s="244"/>
      <c r="D31" s="244"/>
    </row>
    <row r="32" spans="1:4">
      <c r="A32" s="245" t="s">
        <v>78</v>
      </c>
      <c r="B32" s="249" t="s">
        <v>79</v>
      </c>
      <c r="C32" s="245" t="s">
        <v>38</v>
      </c>
      <c r="D32" s="245" t="s">
        <v>80</v>
      </c>
    </row>
    <row r="33" spans="1:4">
      <c r="A33" s="245" t="s">
        <v>42</v>
      </c>
      <c r="B33" t="s">
        <v>81</v>
      </c>
      <c r="C33" s="253">
        <v>0.2</v>
      </c>
      <c r="D33" s="251">
        <f>C33*(Módulo1[[#Totals],[Valor]]+Submódulo2.1[[#Totals],[Valor]])</f>
        <v>238.411111111111</v>
      </c>
    </row>
    <row r="34" spans="1:4">
      <c r="A34" s="245" t="s">
        <v>45</v>
      </c>
      <c r="B34" t="s">
        <v>82</v>
      </c>
      <c r="C34" s="253">
        <v>0.025</v>
      </c>
      <c r="D34" s="251">
        <f>C34*(Módulo1[[#Totals],[Valor]]+Submódulo2.1[[#Totals],[Valor]])</f>
        <v>29.8013888888889</v>
      </c>
    </row>
    <row r="35" spans="1:4">
      <c r="A35" s="245" t="s">
        <v>48</v>
      </c>
      <c r="B35" t="s">
        <v>83</v>
      </c>
      <c r="C35" s="253">
        <f>Servente!G6</f>
        <v>0.03</v>
      </c>
      <c r="D35" s="251">
        <f>C35*(Módulo1[[#Totals],[Valor]]+Submódulo2.1[[#Totals],[Valor]])</f>
        <v>35.7616666666667</v>
      </c>
    </row>
    <row r="36" spans="1:4">
      <c r="A36" s="245" t="s">
        <v>50</v>
      </c>
      <c r="B36" t="s">
        <v>84</v>
      </c>
      <c r="C36" s="253">
        <v>0.015</v>
      </c>
      <c r="D36" s="251">
        <f>C36*(Módulo1[[#Totals],[Valor]]+Submódulo2.1[[#Totals],[Valor]])</f>
        <v>17.8808333333333</v>
      </c>
    </row>
    <row r="37" spans="1:4">
      <c r="A37" s="245" t="s">
        <v>53</v>
      </c>
      <c r="B37" t="s">
        <v>85</v>
      </c>
      <c r="C37" s="253">
        <v>0.01</v>
      </c>
      <c r="D37" s="251">
        <f>C37*(Módulo1[[#Totals],[Valor]]+Submódulo2.1[[#Totals],[Valor]])</f>
        <v>11.9205555555556</v>
      </c>
    </row>
    <row r="38" spans="1:4">
      <c r="A38" s="245" t="s">
        <v>55</v>
      </c>
      <c r="B38" t="s">
        <v>86</v>
      </c>
      <c r="C38" s="253">
        <v>0.006</v>
      </c>
      <c r="D38" s="251">
        <f>C38*(Módulo1[[#Totals],[Valor]]+Submódulo2.1[[#Totals],[Valor]])</f>
        <v>7.15233333333333</v>
      </c>
    </row>
    <row r="39" spans="1:4">
      <c r="A39" s="245" t="s">
        <v>87</v>
      </c>
      <c r="B39" t="s">
        <v>88</v>
      </c>
      <c r="C39" s="253">
        <v>0.002</v>
      </c>
      <c r="D39" s="251">
        <f>C39*(Módulo1[[#Totals],[Valor]]+Submódulo2.1[[#Totals],[Valor]])</f>
        <v>2.38411111111111</v>
      </c>
    </row>
    <row r="40" spans="1:4">
      <c r="A40" s="245" t="s">
        <v>89</v>
      </c>
      <c r="B40" t="s">
        <v>90</v>
      </c>
      <c r="C40" s="253">
        <v>0.08</v>
      </c>
      <c r="D40" s="251">
        <f>C40*(Módulo1[[#Totals],[Valor]]+Submódulo2.1[[#Totals],[Valor]])</f>
        <v>95.3644444444445</v>
      </c>
    </row>
    <row r="41" spans="1:4">
      <c r="A41" s="245" t="s">
        <v>58</v>
      </c>
      <c r="C41" s="260">
        <f>SUBTOTAL(109,Submódulo2.2[Percentual])</f>
        <v>0.368</v>
      </c>
      <c r="D41" s="251">
        <f>SUBTOTAL(109,Submódulo2.2[Valor ])</f>
        <v>438.676444444444</v>
      </c>
    </row>
    <row r="42" spans="1:4">
      <c r="A42" s="245"/>
      <c r="C42" s="260"/>
      <c r="D42" s="251"/>
    </row>
    <row r="43" spans="1:4">
      <c r="A43" s="308" t="s">
        <v>91</v>
      </c>
      <c r="B43" s="308"/>
      <c r="C43" s="308"/>
      <c r="D43" s="308"/>
    </row>
    <row r="44" spans="1:4">
      <c r="A44" s="308" t="s">
        <v>16</v>
      </c>
      <c r="B44" s="308" t="s">
        <v>70</v>
      </c>
      <c r="C44" s="308" t="s">
        <v>71</v>
      </c>
      <c r="D44" s="309" t="s">
        <v>72</v>
      </c>
    </row>
    <row r="45" ht="30" spans="1:4">
      <c r="A45" s="263" t="s">
        <v>92</v>
      </c>
      <c r="B45" s="310" t="s">
        <v>79</v>
      </c>
      <c r="C45" s="310" t="s">
        <v>93</v>
      </c>
      <c r="D45" s="310" t="s">
        <v>94</v>
      </c>
    </row>
    <row r="47" spans="1:4">
      <c r="A47" s="244" t="s">
        <v>95</v>
      </c>
      <c r="B47" s="244"/>
      <c r="C47" s="244"/>
      <c r="D47" s="244"/>
    </row>
    <row r="48" spans="1:4">
      <c r="A48" s="245" t="s">
        <v>96</v>
      </c>
      <c r="B48" s="249" t="s">
        <v>97</v>
      </c>
      <c r="C48" s="245" t="s">
        <v>18</v>
      </c>
      <c r="D48" s="245" t="s">
        <v>19</v>
      </c>
    </row>
    <row r="49" spans="1:4">
      <c r="A49" s="245" t="s">
        <v>42</v>
      </c>
      <c r="B49" t="s">
        <v>98</v>
      </c>
      <c r="D49" s="251">
        <f>IF(G3=0,0,(Servente!G3*2*Servente!G5)-(6%*_1A))</f>
        <v>0</v>
      </c>
    </row>
    <row r="50" spans="1:4">
      <c r="A50" s="245" t="s">
        <v>45</v>
      </c>
      <c r="B50" t="s">
        <v>99</v>
      </c>
      <c r="D50" s="251">
        <f>(Servente!G4*Servente!G5)*80%</f>
        <v>211.2</v>
      </c>
    </row>
    <row r="51" spans="1:4">
      <c r="A51" s="245" t="s">
        <v>48</v>
      </c>
      <c r="B51" t="s">
        <v>100</v>
      </c>
      <c r="D51" s="251"/>
    </row>
    <row r="52" spans="1:4">
      <c r="A52" s="245" t="s">
        <v>50</v>
      </c>
      <c r="B52" t="s">
        <v>56</v>
      </c>
      <c r="D52" s="251"/>
    </row>
    <row r="53" spans="1:4">
      <c r="A53" s="245" t="s">
        <v>58</v>
      </c>
      <c r="D53" s="251">
        <v>211.2</v>
      </c>
    </row>
    <row r="54" spans="1:4">
      <c r="A54" s="245"/>
      <c r="D54" s="251"/>
    </row>
    <row r="55" spans="1:4">
      <c r="A55" s="308" t="s">
        <v>101</v>
      </c>
      <c r="B55" s="308"/>
      <c r="C55" s="308"/>
      <c r="D55" s="308"/>
    </row>
    <row r="56" spans="1:4">
      <c r="A56" s="308" t="s">
        <v>16</v>
      </c>
      <c r="B56" s="308" t="s">
        <v>70</v>
      </c>
      <c r="C56" s="308" t="s">
        <v>71</v>
      </c>
      <c r="D56" s="308" t="s">
        <v>72</v>
      </c>
    </row>
    <row r="57" ht="45" spans="1:4">
      <c r="A57" s="263" t="s">
        <v>42</v>
      </c>
      <c r="B57" s="310" t="s">
        <v>98</v>
      </c>
      <c r="C57" s="311" t="s">
        <v>102</v>
      </c>
      <c r="D57" s="311" t="s">
        <v>103</v>
      </c>
    </row>
    <row r="58" ht="30" spans="1:4">
      <c r="A58" s="263" t="s">
        <v>45</v>
      </c>
      <c r="B58" s="312" t="s">
        <v>99</v>
      </c>
      <c r="C58" s="311" t="s">
        <v>102</v>
      </c>
      <c r="D58" s="311" t="s">
        <v>104</v>
      </c>
    </row>
    <row r="59" ht="19.5" customHeight="1" spans="1:4">
      <c r="A59" s="245"/>
      <c r="D59" s="251"/>
    </row>
    <row r="60" spans="1:4">
      <c r="A60" s="244" t="s">
        <v>105</v>
      </c>
      <c r="B60" s="244"/>
      <c r="C60" s="244"/>
      <c r="D60" s="244"/>
    </row>
    <row r="61" spans="1:4">
      <c r="A61" s="245" t="s">
        <v>106</v>
      </c>
      <c r="B61" s="249" t="s">
        <v>107</v>
      </c>
      <c r="C61" s="245" t="s">
        <v>18</v>
      </c>
      <c r="D61" s="245" t="s">
        <v>19</v>
      </c>
    </row>
    <row r="62" spans="1:4">
      <c r="A62" s="245" t="s">
        <v>65</v>
      </c>
      <c r="B62" t="s">
        <v>66</v>
      </c>
      <c r="C62" s="245"/>
      <c r="D62" s="251">
        <f>Submódulo2.1[[#Totals],[Valor]]</f>
        <v>194.055555555556</v>
      </c>
    </row>
    <row r="63" spans="1:4">
      <c r="A63" s="245" t="s">
        <v>78</v>
      </c>
      <c r="B63" t="s">
        <v>79</v>
      </c>
      <c r="C63" s="245"/>
      <c r="D63" s="251">
        <f>Submódulo2.2[[#Totals],[Valor ]]</f>
        <v>438.676444444444</v>
      </c>
    </row>
    <row r="64" spans="1:4">
      <c r="A64" s="245" t="s">
        <v>96</v>
      </c>
      <c r="B64" t="s">
        <v>97</v>
      </c>
      <c r="C64" s="245"/>
      <c r="D64" s="251">
        <f>Submódulo2.3[[#Totals],[Valor]]</f>
        <v>211.2</v>
      </c>
    </row>
    <row r="65" spans="1:4">
      <c r="A65" s="245" t="s">
        <v>58</v>
      </c>
      <c r="C65" s="245"/>
      <c r="D65" s="251">
        <v>843.932</v>
      </c>
    </row>
    <row r="67" spans="1:4">
      <c r="A67" s="228" t="s">
        <v>108</v>
      </c>
      <c r="B67" s="228"/>
      <c r="C67" s="228"/>
      <c r="D67" s="228"/>
    </row>
    <row r="68" spans="1:4">
      <c r="A68" s="245" t="s">
        <v>109</v>
      </c>
      <c r="B68" s="249" t="s">
        <v>110</v>
      </c>
      <c r="C68" s="245" t="s">
        <v>18</v>
      </c>
      <c r="D68" s="245" t="s">
        <v>19</v>
      </c>
    </row>
    <row r="69" spans="1:4">
      <c r="A69" s="245" t="s">
        <v>42</v>
      </c>
      <c r="B69" t="s">
        <v>111</v>
      </c>
      <c r="D69" s="251">
        <f>((Módulo1[[#Totals],[Valor]]+D62+D64)/12)*Servente!G10</f>
        <v>50.715994537037</v>
      </c>
    </row>
    <row r="70" spans="1:4">
      <c r="A70" s="245" t="s">
        <v>45</v>
      </c>
      <c r="B70" t="s">
        <v>112</v>
      </c>
      <c r="D70" s="251">
        <f>(D40/12)*Servente!G10</f>
        <v>3.44662996296296</v>
      </c>
    </row>
    <row r="71" spans="1:4">
      <c r="A71" s="245" t="s">
        <v>48</v>
      </c>
      <c r="B71" t="s">
        <v>113</v>
      </c>
      <c r="D71" s="251">
        <f>D40*50%*Servente!G10</f>
        <v>20.6797797777778</v>
      </c>
    </row>
    <row r="72" spans="1:4">
      <c r="A72" s="245" t="s">
        <v>50</v>
      </c>
      <c r="B72" t="s">
        <v>114</v>
      </c>
      <c r="D72" s="251">
        <f>((Módulo1[[#Totals],[Valor]]+ResumoMódulo2[[#Totals],[Valor]])/12)*Servente!G11</f>
        <v>66.5704923666667</v>
      </c>
    </row>
    <row r="73" spans="1:4">
      <c r="A73" s="245" t="s">
        <v>53</v>
      </c>
      <c r="B73" t="s">
        <v>115</v>
      </c>
      <c r="D73" s="251">
        <f>D40*50%*Servente!G11</f>
        <v>20.6797797777778</v>
      </c>
    </row>
    <row r="74" spans="1:4">
      <c r="A74" s="245" t="s">
        <v>55</v>
      </c>
      <c r="B74" t="s">
        <v>116</v>
      </c>
      <c r="D74" s="251">
        <f>-D62*Servente!G12</f>
        <v>-4.23041111111111</v>
      </c>
    </row>
    <row r="75" spans="1:4">
      <c r="A75" s="245" t="s">
        <v>58</v>
      </c>
      <c r="D75" s="251">
        <f>SUBTOTAL(109,Módulo3[Valor])</f>
        <v>157.862265311111</v>
      </c>
    </row>
    <row r="76" spans="1:4">
      <c r="A76" s="245"/>
      <c r="D76" s="251"/>
    </row>
    <row r="77" spans="1:4">
      <c r="A77" s="308" t="s">
        <v>117</v>
      </c>
      <c r="B77" s="308"/>
      <c r="C77" s="308"/>
      <c r="D77" s="308"/>
    </row>
    <row r="78" spans="1:4">
      <c r="A78" s="308" t="s">
        <v>16</v>
      </c>
      <c r="B78" s="308" t="s">
        <v>70</v>
      </c>
      <c r="C78" s="308" t="s">
        <v>71</v>
      </c>
      <c r="D78" s="308" t="s">
        <v>72</v>
      </c>
    </row>
    <row r="79" ht="60" spans="1:4">
      <c r="A79" s="263" t="s">
        <v>42</v>
      </c>
      <c r="B79" s="310" t="s">
        <v>111</v>
      </c>
      <c r="C79" s="311" t="s">
        <v>118</v>
      </c>
      <c r="D79" s="311" t="s">
        <v>119</v>
      </c>
    </row>
    <row r="80" ht="60" spans="1:4">
      <c r="A80" s="263" t="s">
        <v>45</v>
      </c>
      <c r="B80" s="312" t="s">
        <v>112</v>
      </c>
      <c r="C80" s="311" t="s">
        <v>120</v>
      </c>
      <c r="D80" s="311" t="s">
        <v>119</v>
      </c>
    </row>
    <row r="81" ht="75" spans="1:4">
      <c r="A81" s="263" t="s">
        <v>48</v>
      </c>
      <c r="B81" s="312" t="s">
        <v>113</v>
      </c>
      <c r="C81" s="311" t="s">
        <v>120</v>
      </c>
      <c r="D81" s="313" t="s">
        <v>121</v>
      </c>
    </row>
    <row r="82" ht="60" spans="1:4">
      <c r="A82" s="263" t="s">
        <v>50</v>
      </c>
      <c r="B82" s="264" t="s">
        <v>114</v>
      </c>
      <c r="C82" s="311" t="s">
        <v>122</v>
      </c>
      <c r="D82" s="313" t="s">
        <v>123</v>
      </c>
    </row>
    <row r="83" ht="75" spans="1:4">
      <c r="A83" s="263" t="s">
        <v>53</v>
      </c>
      <c r="B83" s="264" t="s">
        <v>115</v>
      </c>
      <c r="C83" s="311" t="s">
        <v>120</v>
      </c>
      <c r="D83" s="313" t="s">
        <v>124</v>
      </c>
    </row>
    <row r="84" ht="60" spans="1:4">
      <c r="A84" s="263" t="s">
        <v>55</v>
      </c>
      <c r="B84" s="264" t="s">
        <v>116</v>
      </c>
      <c r="C84" s="311" t="s">
        <v>125</v>
      </c>
      <c r="D84" s="313" t="s">
        <v>126</v>
      </c>
    </row>
    <row r="86" customHeight="1" spans="1:4">
      <c r="A86" s="272" t="s">
        <v>127</v>
      </c>
      <c r="B86" s="272"/>
      <c r="C86" s="272"/>
      <c r="D86" s="272"/>
    </row>
    <row r="87" spans="1:4">
      <c r="A87" s="244" t="s">
        <v>128</v>
      </c>
      <c r="B87" s="244"/>
      <c r="C87" s="244"/>
      <c r="D87" s="244"/>
    </row>
    <row r="88" spans="1:4">
      <c r="A88" s="245" t="s">
        <v>129</v>
      </c>
      <c r="B88" s="249" t="s">
        <v>130</v>
      </c>
      <c r="C88" s="245" t="s">
        <v>131</v>
      </c>
      <c r="D88" s="245" t="s">
        <v>19</v>
      </c>
    </row>
    <row r="89" spans="1:4">
      <c r="A89" s="245" t="s">
        <v>42</v>
      </c>
      <c r="B89" t="s">
        <v>132</v>
      </c>
      <c r="C89" s="245">
        <v>20.71</v>
      </c>
      <c r="D89" s="251">
        <f>(((Módulo1[[#Totals],[Valor]]+ResumoMódulo2[[#Totals],[Valor]]+Módulo3[[#Totals],[Valor]])/30)*C89)/12</f>
        <v>115.043720096092</v>
      </c>
    </row>
    <row r="90" spans="1:4">
      <c r="A90" s="245" t="s">
        <v>45</v>
      </c>
      <c r="B90" t="s">
        <v>133</v>
      </c>
      <c r="C90" s="245">
        <v>1.4181</v>
      </c>
      <c r="D90" s="251">
        <f>(((Módulo1[[#Totals],[Valor]]+ResumoMódulo2[[#Totals],[Valor]]+Módulo3[[#Totals],[Valor]])/30)*C90)/12</f>
        <v>7.87752291010468</v>
      </c>
    </row>
    <row r="91" spans="1:4">
      <c r="A91" s="245" t="s">
        <v>48</v>
      </c>
      <c r="B91" t="s">
        <v>134</v>
      </c>
      <c r="C91" s="245">
        <v>0.1898</v>
      </c>
      <c r="D91" s="251">
        <f>(((Módulo1[[#Totals],[Valor]]+ResumoMódulo2[[#Totals],[Valor]]+Módulo3[[#Totals],[Valor]])/30)*C91)/12</f>
        <v>1.05433597654458</v>
      </c>
    </row>
    <row r="92" spans="1:4">
      <c r="A92" s="245" t="s">
        <v>50</v>
      </c>
      <c r="B92" t="s">
        <v>135</v>
      </c>
      <c r="C92" s="245">
        <v>0.9545</v>
      </c>
      <c r="D92" s="251">
        <f>(((Módulo1[[#Totals],[Valor]]+ResumoMódulo2[[#Totals],[Valor]]+Módulo3[[#Totals],[Valor]])/30)*C92)/12</f>
        <v>5.3022322951096</v>
      </c>
    </row>
    <row r="93" spans="1:4">
      <c r="A93" s="245" t="s">
        <v>53</v>
      </c>
      <c r="B93" t="s">
        <v>136</v>
      </c>
      <c r="C93" s="245">
        <v>2.4723</v>
      </c>
      <c r="D93" s="251">
        <f>(((Módulo1[[#Totals],[Valor]]+ResumoMódulo2[[#Totals],[Valor]]+Módulo3[[#Totals],[Valor]])/30)*C93)/12</f>
        <v>13.7335871170241</v>
      </c>
    </row>
    <row r="94" spans="1:4">
      <c r="A94" s="245" t="s">
        <v>55</v>
      </c>
      <c r="B94" t="s">
        <v>137</v>
      </c>
      <c r="C94" s="245">
        <v>3.4521</v>
      </c>
      <c r="D94" s="251">
        <f>(((Módulo1[[#Totals],[Valor]]+ResumoMódulo2[[#Totals],[Valor]]+Módulo3[[#Totals],[Valor]])/30)*C94)/12</f>
        <v>19.1763605091125</v>
      </c>
    </row>
    <row r="95" spans="1:4">
      <c r="A95" s="245" t="s">
        <v>58</v>
      </c>
      <c r="C95" s="245">
        <f>SUBTOTAL(109,Submódulo4.1[Dias de ausência])</f>
        <v>29.1968</v>
      </c>
      <c r="D95" s="251">
        <f>SUBTOTAL(109,Submódulo4.1[Valor])</f>
        <v>162.187758903987</v>
      </c>
    </row>
    <row r="96" spans="1:4">
      <c r="A96" s="245"/>
      <c r="C96" s="245"/>
      <c r="D96" s="251"/>
    </row>
    <row r="97" spans="1:4">
      <c r="A97" s="308" t="s">
        <v>138</v>
      </c>
      <c r="B97" s="308"/>
      <c r="C97" s="308"/>
      <c r="D97" s="308"/>
    </row>
    <row r="98" spans="1:4">
      <c r="A98" s="308" t="s">
        <v>16</v>
      </c>
      <c r="B98" s="308" t="s">
        <v>70</v>
      </c>
      <c r="C98" s="308" t="s">
        <v>71</v>
      </c>
      <c r="D98" s="308" t="s">
        <v>72</v>
      </c>
    </row>
    <row r="99" spans="1:4">
      <c r="A99" s="263" t="s">
        <v>139</v>
      </c>
      <c r="B99" s="310" t="s">
        <v>140</v>
      </c>
      <c r="C99" s="311"/>
      <c r="D99" s="311"/>
    </row>
    <row r="100" ht="45" spans="1:4">
      <c r="A100" s="263" t="s">
        <v>139</v>
      </c>
      <c r="B100" s="312" t="s">
        <v>141</v>
      </c>
      <c r="C100" s="311" t="s">
        <v>142</v>
      </c>
      <c r="D100" s="311" t="s">
        <v>143</v>
      </c>
    </row>
    <row r="101" spans="1:4">
      <c r="A101" s="245"/>
      <c r="C101" s="245"/>
      <c r="D101" s="251"/>
    </row>
    <row r="102" spans="1:4">
      <c r="A102" s="244" t="s">
        <v>144</v>
      </c>
      <c r="B102" s="244"/>
      <c r="C102" s="244"/>
      <c r="D102" s="244"/>
    </row>
    <row r="103" spans="1:4">
      <c r="A103" s="245" t="s">
        <v>145</v>
      </c>
      <c r="B103" s="249" t="s">
        <v>146</v>
      </c>
      <c r="C103" s="245" t="s">
        <v>18</v>
      </c>
      <c r="D103" s="245" t="s">
        <v>19</v>
      </c>
    </row>
    <row r="104" spans="1:4">
      <c r="A104" s="245" t="s">
        <v>42</v>
      </c>
      <c r="B104" t="s">
        <v>147</v>
      </c>
      <c r="C104" s="245"/>
      <c r="D104" s="251"/>
    </row>
    <row r="105" spans="1:4">
      <c r="A105" s="245" t="s">
        <v>58</v>
      </c>
      <c r="C105" s="245"/>
      <c r="D105" s="251">
        <f>SUBTOTAL(109,Submódulo4.2[Valor])</f>
        <v>0</v>
      </c>
    </row>
    <row r="107" spans="1:4">
      <c r="A107" s="244" t="s">
        <v>148</v>
      </c>
      <c r="B107" s="244"/>
      <c r="C107" s="244"/>
      <c r="D107" s="244"/>
    </row>
    <row r="108" spans="1:4">
      <c r="A108" s="245" t="s">
        <v>149</v>
      </c>
      <c r="B108" s="249" t="s">
        <v>150</v>
      </c>
      <c r="C108" s="245" t="s">
        <v>18</v>
      </c>
      <c r="D108" s="245" t="s">
        <v>19</v>
      </c>
    </row>
    <row r="109" spans="1:4">
      <c r="A109" s="245" t="s">
        <v>129</v>
      </c>
      <c r="B109" t="s">
        <v>130</v>
      </c>
      <c r="D109" s="251">
        <f>Submódulo4.1[[#Totals],[Valor]]</f>
        <v>162.187758903987</v>
      </c>
    </row>
    <row r="110" spans="1:4">
      <c r="A110" s="245" t="s">
        <v>145</v>
      </c>
      <c r="B110" t="s">
        <v>151</v>
      </c>
      <c r="D110" s="251">
        <f>Submódulo4.2[[#Totals],[Valor]]</f>
        <v>0</v>
      </c>
    </row>
    <row r="111" spans="1:4">
      <c r="A111" s="245" t="s">
        <v>58</v>
      </c>
      <c r="D111" s="251">
        <f>SUBTOTAL(109,ResumoMódulo4[Valor])</f>
        <v>162.187758903987</v>
      </c>
    </row>
    <row r="113" spans="1:4">
      <c r="A113" s="228" t="s">
        <v>152</v>
      </c>
      <c r="B113" s="228"/>
      <c r="C113" s="228"/>
      <c r="D113" s="228"/>
    </row>
    <row r="114" spans="1:4">
      <c r="A114" s="245" t="s">
        <v>153</v>
      </c>
      <c r="B114" s="249" t="s">
        <v>154</v>
      </c>
      <c r="C114" s="245" t="s">
        <v>18</v>
      </c>
      <c r="D114" s="245" t="s">
        <v>19</v>
      </c>
    </row>
    <row r="115" spans="1:4">
      <c r="A115" s="245" t="s">
        <v>42</v>
      </c>
      <c r="B115" t="s">
        <v>155</v>
      </c>
      <c r="D115" s="251" t="e">
        <f>#REF!</f>
        <v>#REF!</v>
      </c>
    </row>
    <row r="116" spans="1:4">
      <c r="A116" s="245" t="s">
        <v>45</v>
      </c>
      <c r="B116" t="s">
        <v>156</v>
      </c>
      <c r="D116" s="251" t="e">
        <f>#REF!/#REF!</f>
        <v>#REF!</v>
      </c>
    </row>
    <row r="117" spans="1:4">
      <c r="A117" s="245" t="s">
        <v>48</v>
      </c>
      <c r="B117" t="s">
        <v>157</v>
      </c>
      <c r="D117" s="251" t="e">
        <f>#REF!/#REF!</f>
        <v>#REF!</v>
      </c>
    </row>
    <row r="118" spans="1:4">
      <c r="A118" s="245" t="s">
        <v>50</v>
      </c>
      <c r="B118" t="s">
        <v>158</v>
      </c>
      <c r="D118" s="251"/>
    </row>
    <row r="119" spans="1:4">
      <c r="A119" s="245" t="s">
        <v>58</v>
      </c>
      <c r="D119" s="251" t="e">
        <f>SUBTOTAL(109,Módulo5[Valor])</f>
        <v>#REF!</v>
      </c>
    </row>
    <row r="120" spans="1:4">
      <c r="A120" s="245"/>
      <c r="D120" s="251"/>
    </row>
    <row r="121" spans="1:4">
      <c r="A121" s="308" t="s">
        <v>159</v>
      </c>
      <c r="B121" s="308"/>
      <c r="C121" s="308"/>
      <c r="D121" s="308"/>
    </row>
    <row r="122" spans="1:4">
      <c r="A122" s="308" t="s">
        <v>16</v>
      </c>
      <c r="B122" s="308" t="s">
        <v>70</v>
      </c>
      <c r="C122" s="308" t="s">
        <v>71</v>
      </c>
      <c r="D122" s="308" t="s">
        <v>72</v>
      </c>
    </row>
    <row r="123" spans="1:4">
      <c r="A123" s="263" t="s">
        <v>42</v>
      </c>
      <c r="B123" s="310" t="s">
        <v>155</v>
      </c>
      <c r="C123" s="311" t="s">
        <v>160</v>
      </c>
      <c r="D123" s="311"/>
    </row>
    <row r="124" ht="30" spans="1:4">
      <c r="A124" s="263" t="s">
        <v>45</v>
      </c>
      <c r="B124" s="312" t="s">
        <v>156</v>
      </c>
      <c r="C124" s="311" t="s">
        <v>161</v>
      </c>
      <c r="D124" s="311" t="s">
        <v>162</v>
      </c>
    </row>
    <row r="125" ht="30" spans="1:4">
      <c r="A125" s="263" t="s">
        <v>48</v>
      </c>
      <c r="B125" s="312" t="s">
        <v>157</v>
      </c>
      <c r="C125" s="311" t="s">
        <v>163</v>
      </c>
      <c r="D125" s="311" t="s">
        <v>162</v>
      </c>
    </row>
    <row r="126" spans="1:4">
      <c r="A126" s="263" t="s">
        <v>50</v>
      </c>
      <c r="B126" s="312" t="s">
        <v>158</v>
      </c>
      <c r="C126" s="311"/>
      <c r="D126" s="311"/>
    </row>
    <row r="128" spans="1:4">
      <c r="A128" s="228" t="s">
        <v>164</v>
      </c>
      <c r="B128" s="228"/>
      <c r="C128" s="228"/>
      <c r="D128" s="228"/>
    </row>
    <row r="129" outlineLevel="1" spans="1:4">
      <c r="A129" s="245" t="s">
        <v>165</v>
      </c>
      <c r="B129" t="s">
        <v>166</v>
      </c>
      <c r="C129" s="245" t="s">
        <v>38</v>
      </c>
      <c r="D129" s="245" t="s">
        <v>19</v>
      </c>
    </row>
    <row r="130" outlineLevel="1" spans="1:4">
      <c r="A130" s="245" t="s">
        <v>42</v>
      </c>
      <c r="B130" t="s">
        <v>167</v>
      </c>
      <c r="C130" s="253">
        <f>G16</f>
        <v>0.0471</v>
      </c>
      <c r="D130" s="251" t="e">
        <f>Módulo6[[#This Row],[Percentual]]*(D141+D142+D143+D144+D145)</f>
        <v>#REF!</v>
      </c>
    </row>
    <row r="131" outlineLevel="1" spans="1:4">
      <c r="A131" s="245" t="s">
        <v>45</v>
      </c>
      <c r="B131" t="s">
        <v>59</v>
      </c>
      <c r="C131" s="253">
        <f>G17</f>
        <v>0.0467</v>
      </c>
      <c r="D131" s="251" t="e">
        <f>(SUM(D141:D145)+D130)*Módulo6[[#This Row],[Percentual]]</f>
        <v>#REF!</v>
      </c>
    </row>
    <row r="132" spans="1:4">
      <c r="A132" s="245" t="s">
        <v>48</v>
      </c>
      <c r="B132" t="s">
        <v>168</v>
      </c>
      <c r="C132" s="253">
        <f>SUM(C133:C135)</f>
        <v>0.1425</v>
      </c>
      <c r="D132" s="251" t="e">
        <f>Módulo6[[#This Row],[Percentual]]*D148</f>
        <v>#REF!</v>
      </c>
    </row>
    <row r="133" spans="1:4">
      <c r="A133" s="245" t="s">
        <v>169</v>
      </c>
      <c r="B133" t="s">
        <v>60</v>
      </c>
      <c r="C133" s="253">
        <f>G18</f>
        <v>0.0165</v>
      </c>
      <c r="D133" s="251" t="e">
        <f>Módulo6[[#This Row],[Percentual]]*D148</f>
        <v>#REF!</v>
      </c>
    </row>
    <row r="134" spans="1:4">
      <c r="A134" s="245" t="s">
        <v>170</v>
      </c>
      <c r="B134" t="s">
        <v>62</v>
      </c>
      <c r="C134" s="253">
        <f>G19</f>
        <v>0.076</v>
      </c>
      <c r="D134" s="251" t="e">
        <f>Módulo6[[#This Row],[Percentual]]*D148</f>
        <v>#REF!</v>
      </c>
    </row>
    <row r="135" spans="1:4">
      <c r="A135" s="245" t="s">
        <v>171</v>
      </c>
      <c r="B135" t="s">
        <v>64</v>
      </c>
      <c r="C135" s="253">
        <f>G20</f>
        <v>0.05</v>
      </c>
      <c r="D135" s="251" t="e">
        <f>Módulo6[[#This Row],[Percentual]]*D148</f>
        <v>#REF!</v>
      </c>
    </row>
    <row r="136" spans="1:4">
      <c r="A136" s="245" t="s">
        <v>58</v>
      </c>
      <c r="C136" s="283"/>
      <c r="D136" s="251" t="e">
        <f>SUM(D130:D132)</f>
        <v>#REF!</v>
      </c>
    </row>
    <row r="137" spans="1:4">
      <c r="A137" s="245"/>
      <c r="C137" s="283"/>
      <c r="D137" s="251"/>
    </row>
    <row r="139" spans="1:4">
      <c r="A139" s="228" t="s">
        <v>172</v>
      </c>
      <c r="B139" s="228"/>
      <c r="C139" s="228"/>
      <c r="D139" s="228"/>
    </row>
    <row r="140" spans="1:4">
      <c r="A140" s="245" t="s">
        <v>16</v>
      </c>
      <c r="B140" s="245" t="s">
        <v>173</v>
      </c>
      <c r="C140" s="245" t="s">
        <v>102</v>
      </c>
      <c r="D140" s="245" t="s">
        <v>19</v>
      </c>
    </row>
    <row r="141" spans="1:4">
      <c r="A141" s="245" t="s">
        <v>42</v>
      </c>
      <c r="B141" t="s">
        <v>36</v>
      </c>
      <c r="D141" s="251">
        <f>Módulo1[[#Totals],[Valor]]</f>
        <v>998</v>
      </c>
    </row>
    <row r="142" spans="1:4">
      <c r="A142" s="245" t="s">
        <v>45</v>
      </c>
      <c r="B142" t="s">
        <v>61</v>
      </c>
      <c r="D142" s="251">
        <f>ResumoMódulo2[[#Totals],[Valor]]</f>
        <v>843.932</v>
      </c>
    </row>
    <row r="143" spans="1:4">
      <c r="A143" s="245" t="s">
        <v>48</v>
      </c>
      <c r="B143" t="s">
        <v>108</v>
      </c>
      <c r="D143" s="251">
        <f>Módulo3[[#Totals],[Valor]]</f>
        <v>157.862265311111</v>
      </c>
    </row>
    <row r="144" spans="1:4">
      <c r="A144" s="245" t="s">
        <v>50</v>
      </c>
      <c r="B144" t="s">
        <v>174</v>
      </c>
      <c r="D144" s="251">
        <f>ResumoMódulo4[[#Totals],[Valor]]</f>
        <v>162.187758903987</v>
      </c>
    </row>
    <row r="145" spans="1:4">
      <c r="A145" s="245" t="s">
        <v>53</v>
      </c>
      <c r="B145" t="s">
        <v>152</v>
      </c>
      <c r="D145" s="251" t="e">
        <f>Módulo5[[#Totals],[Valor]]</f>
        <v>#REF!</v>
      </c>
    </row>
    <row r="146" spans="1:4">
      <c r="A146" t="s">
        <v>175</v>
      </c>
      <c r="D146" s="251" t="e">
        <f>SUM(D141:D145)</f>
        <v>#REF!</v>
      </c>
    </row>
    <row r="147" spans="1:4">
      <c r="A147" s="245" t="s">
        <v>55</v>
      </c>
      <c r="B147" t="s">
        <v>164</v>
      </c>
      <c r="D147" s="251" t="e">
        <f>Módulo6[[#Totals],[Valor]]</f>
        <v>#REF!</v>
      </c>
    </row>
    <row r="148" spans="1:4">
      <c r="A148" s="285" t="s">
        <v>176</v>
      </c>
      <c r="B148" s="285"/>
      <c r="C148" s="285"/>
      <c r="D148" s="314"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86:D86"/>
    <mergeCell ref="A87:D87"/>
    <mergeCell ref="A97:D97"/>
    <mergeCell ref="A102:D102"/>
    <mergeCell ref="A107:D107"/>
    <mergeCell ref="A113:D113"/>
    <mergeCell ref="A121:D121"/>
    <mergeCell ref="A128:D128"/>
    <mergeCell ref="A139:D139"/>
  </mergeCells>
  <pageMargins left="0.7" right="0.7" top="0.75" bottom="0.75" header="0.511805555555555" footer="0.511805555555555"/>
  <pageSetup paperSize="9" scale="44" firstPageNumber="0" fitToHeight="0" orientation="portrait" useFirstPageNumber="1" horizontalDpi="300" verticalDpi="300"/>
  <headerFooter/>
  <legacyDrawing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7"/>
  <sheetViews>
    <sheetView zoomScale="90" zoomScaleNormal="90" topLeftCell="A132" workbookViewId="0">
      <selection activeCell="A2" sqref="A2:D147"/>
    </sheetView>
  </sheetViews>
  <sheetFormatPr defaultColWidth="9.14285714285714" defaultRowHeight="15" outlineLevelCol="6"/>
  <cols>
    <col min="1" max="1" width="10.6190476190476" customWidth="1"/>
    <col min="2" max="2" width="52.2095238095238" customWidth="1"/>
    <col min="3" max="3" width="25.8" customWidth="1"/>
    <col min="4" max="4" width="33.5809523809524" customWidth="1"/>
    <col min="6" max="6" width="22.8571428571429" customWidth="1"/>
    <col min="7" max="7" width="15.552380952381" customWidth="1"/>
    <col min="9" max="9" width="11.4285714285714"/>
  </cols>
  <sheetData>
    <row r="2" ht="19.5" spans="1:4">
      <c r="A2" s="221" t="s">
        <v>177</v>
      </c>
      <c r="B2" s="221"/>
      <c r="C2" s="221"/>
      <c r="D2" s="221"/>
    </row>
    <row r="3" ht="15.75" spans="1:4">
      <c r="A3" s="222" t="s">
        <v>178</v>
      </c>
      <c r="B3" s="222"/>
      <c r="C3" s="222"/>
      <c r="D3" s="222"/>
    </row>
    <row r="4" spans="1:4">
      <c r="A4" s="223" t="s">
        <v>179</v>
      </c>
      <c r="B4" s="224" t="s">
        <v>180</v>
      </c>
      <c r="C4" s="225"/>
      <c r="D4" s="225"/>
    </row>
    <row r="5" spans="1:4">
      <c r="A5" s="226"/>
      <c r="B5" s="227"/>
      <c r="C5" s="227"/>
      <c r="D5" s="227"/>
    </row>
    <row r="6" ht="15.75" spans="1:4">
      <c r="A6" s="228" t="s">
        <v>181</v>
      </c>
      <c r="B6" s="228"/>
      <c r="C6" s="228"/>
      <c r="D6" s="228"/>
    </row>
    <row r="7" ht="15.75" spans="1:4">
      <c r="A7" s="229" t="s">
        <v>42</v>
      </c>
      <c r="B7" s="230" t="s">
        <v>182</v>
      </c>
      <c r="C7" s="231" t="s">
        <v>183</v>
      </c>
      <c r="D7" s="231"/>
    </row>
    <row r="8" spans="1:4">
      <c r="A8" s="232" t="s">
        <v>45</v>
      </c>
      <c r="B8" s="233" t="s">
        <v>184</v>
      </c>
      <c r="C8" s="234" t="s">
        <v>185</v>
      </c>
      <c r="D8" s="234"/>
    </row>
    <row r="9" spans="1:4">
      <c r="A9" s="235" t="s">
        <v>48</v>
      </c>
      <c r="B9" s="236" t="s">
        <v>186</v>
      </c>
      <c r="C9" s="234" t="s">
        <v>187</v>
      </c>
      <c r="D9" s="234"/>
    </row>
    <row r="10" spans="1:4">
      <c r="A10" s="232" t="s">
        <v>53</v>
      </c>
      <c r="B10" s="233" t="s">
        <v>188</v>
      </c>
      <c r="C10" s="234" t="s">
        <v>189</v>
      </c>
      <c r="D10" s="234"/>
    </row>
    <row r="11" ht="15.75" spans="1:4">
      <c r="A11" s="237" t="s">
        <v>190</v>
      </c>
      <c r="B11" s="237"/>
      <c r="C11" s="237"/>
      <c r="D11" s="237"/>
    </row>
    <row r="12" ht="16.5" spans="1:4">
      <c r="A12" s="238" t="s">
        <v>191</v>
      </c>
      <c r="B12" s="238"/>
      <c r="C12" s="237" t="s">
        <v>192</v>
      </c>
      <c r="D12" s="239" t="s">
        <v>193</v>
      </c>
    </row>
    <row r="13" ht="15.75" spans="1:4">
      <c r="A13" s="240" t="s">
        <v>194</v>
      </c>
      <c r="B13" s="240"/>
      <c r="C13" s="234" t="s">
        <v>195</v>
      </c>
      <c r="D13" s="241">
        <f>RESUMO!D3</f>
        <v>10</v>
      </c>
    </row>
    <row r="14" spans="1:4">
      <c r="A14" s="242"/>
      <c r="B14" s="242"/>
      <c r="C14" s="234"/>
      <c r="D14" s="243"/>
    </row>
    <row r="15" ht="15.75" spans="1:7">
      <c r="A15" s="237" t="s">
        <v>14</v>
      </c>
      <c r="B15" s="237"/>
      <c r="C15" s="237"/>
      <c r="D15" s="237"/>
      <c r="F15" s="244"/>
      <c r="G15" s="244"/>
    </row>
    <row r="16" ht="15.75" spans="1:4">
      <c r="A16" s="245" t="s">
        <v>16</v>
      </c>
      <c r="B16" t="s">
        <v>17</v>
      </c>
      <c r="C16" s="245" t="s">
        <v>18</v>
      </c>
      <c r="D16" s="245" t="s">
        <v>19</v>
      </c>
    </row>
    <row r="17" spans="1:4">
      <c r="A17" s="245">
        <v>1</v>
      </c>
      <c r="B17" t="s">
        <v>20</v>
      </c>
      <c r="C17" s="246" t="s">
        <v>102</v>
      </c>
      <c r="D17" s="246" t="str">
        <f>A13</f>
        <v>Auxiliar Administrativo</v>
      </c>
    </row>
    <row r="18" spans="1:4">
      <c r="A18" s="245">
        <v>2</v>
      </c>
      <c r="B18" t="s">
        <v>23</v>
      </c>
      <c r="C18" s="246" t="s">
        <v>196</v>
      </c>
      <c r="D18" s="246" t="s">
        <v>197</v>
      </c>
    </row>
    <row r="19" spans="1:4">
      <c r="A19" s="245">
        <v>3</v>
      </c>
      <c r="B19" t="s">
        <v>26</v>
      </c>
      <c r="C19" s="246" t="str">
        <f>C9</f>
        <v>CCT PB000047/2021</v>
      </c>
      <c r="D19" s="195">
        <v>1148</v>
      </c>
    </row>
    <row r="20" spans="1:4">
      <c r="A20" s="245">
        <v>4</v>
      </c>
      <c r="B20" t="s">
        <v>29</v>
      </c>
      <c r="C20" s="246" t="str">
        <f>C9</f>
        <v>CCT PB000047/2021</v>
      </c>
      <c r="D20" s="247" t="s">
        <v>198</v>
      </c>
    </row>
    <row r="21" spans="1:4">
      <c r="A21" s="245">
        <v>5</v>
      </c>
      <c r="B21" t="s">
        <v>33</v>
      </c>
      <c r="C21" s="246" t="str">
        <f>C9</f>
        <v>CCT PB000047/2021</v>
      </c>
      <c r="D21" s="248" t="s">
        <v>199</v>
      </c>
    </row>
    <row r="22" spans="6:7">
      <c r="F22" s="244"/>
      <c r="G22" s="244"/>
    </row>
    <row r="23" spans="1:4">
      <c r="A23" s="228" t="s">
        <v>36</v>
      </c>
      <c r="B23" s="228"/>
      <c r="C23" s="228"/>
      <c r="D23" s="228"/>
    </row>
    <row r="24" spans="1:7">
      <c r="A24" s="245" t="s">
        <v>39</v>
      </c>
      <c r="B24" s="249" t="s">
        <v>40</v>
      </c>
      <c r="C24" s="245" t="s">
        <v>18</v>
      </c>
      <c r="D24" s="245" t="s">
        <v>19</v>
      </c>
      <c r="G24" s="250"/>
    </row>
    <row r="25" spans="1:7">
      <c r="A25" s="245" t="s">
        <v>42</v>
      </c>
      <c r="B25" t="s">
        <v>43</v>
      </c>
      <c r="C25" s="247" t="s">
        <v>200</v>
      </c>
      <c r="D25" s="195">
        <f>D19</f>
        <v>1148</v>
      </c>
      <c r="G25" s="250"/>
    </row>
    <row r="26" spans="1:7">
      <c r="A26" s="245" t="s">
        <v>45</v>
      </c>
      <c r="B26" t="s">
        <v>46</v>
      </c>
      <c r="C26" s="247"/>
      <c r="D26" s="195">
        <v>0</v>
      </c>
      <c r="G26" s="250"/>
    </row>
    <row r="27" spans="1:4">
      <c r="A27" s="245" t="s">
        <v>48</v>
      </c>
      <c r="B27" t="s">
        <v>49</v>
      </c>
      <c r="C27" s="247"/>
      <c r="D27" s="195">
        <v>0</v>
      </c>
    </row>
    <row r="28" spans="1:4">
      <c r="A28" s="245" t="s">
        <v>50</v>
      </c>
      <c r="B28" t="s">
        <v>51</v>
      </c>
      <c r="C28" s="247"/>
      <c r="D28" s="195">
        <v>0</v>
      </c>
    </row>
    <row r="29" spans="1:4">
      <c r="A29" s="245" t="s">
        <v>53</v>
      </c>
      <c r="B29" t="s">
        <v>54</v>
      </c>
      <c r="C29" s="247"/>
      <c r="D29" s="195">
        <v>0</v>
      </c>
    </row>
    <row r="30" spans="1:4">
      <c r="A30" s="245" t="s">
        <v>55</v>
      </c>
      <c r="B30" t="s">
        <v>56</v>
      </c>
      <c r="C30" s="247"/>
      <c r="D30" s="195">
        <v>0</v>
      </c>
    </row>
    <row r="31" spans="1:7">
      <c r="A31" s="245" t="s">
        <v>58</v>
      </c>
      <c r="C31" s="245"/>
      <c r="D31" s="251">
        <f>TRUNC((SUM(D25:D30)),2)</f>
        <v>1148</v>
      </c>
      <c r="F31" s="244"/>
      <c r="G31" s="244"/>
    </row>
    <row r="33" spans="1:7">
      <c r="A33" s="252" t="s">
        <v>61</v>
      </c>
      <c r="B33" s="252"/>
      <c r="C33" s="252"/>
      <c r="D33" s="252"/>
      <c r="G33" s="250"/>
    </row>
    <row r="35" spans="1:4">
      <c r="A35" s="244" t="s">
        <v>63</v>
      </c>
      <c r="B35" s="244"/>
      <c r="C35" s="244"/>
      <c r="D35" s="244"/>
    </row>
    <row r="36" spans="1:4">
      <c r="A36" s="245" t="s">
        <v>65</v>
      </c>
      <c r="B36" s="249" t="s">
        <v>66</v>
      </c>
      <c r="C36" s="245" t="s">
        <v>38</v>
      </c>
      <c r="D36" s="245" t="s">
        <v>19</v>
      </c>
    </row>
    <row r="37" spans="1:7">
      <c r="A37" s="245" t="s">
        <v>42</v>
      </c>
      <c r="B37" t="s">
        <v>67</v>
      </c>
      <c r="C37" s="253">
        <f>(1/12)</f>
        <v>0.0833333333333333</v>
      </c>
      <c r="D37" s="251">
        <f>TRUNC($D$31*C37,2)</f>
        <v>95.66</v>
      </c>
      <c r="F37" s="254"/>
      <c r="G37" s="254"/>
    </row>
    <row r="38" spans="1:7">
      <c r="A38" s="245" t="s">
        <v>45</v>
      </c>
      <c r="B38" t="s">
        <v>68</v>
      </c>
      <c r="C38" s="253">
        <f>(((1+1/3)/12))</f>
        <v>0.111111111111111</v>
      </c>
      <c r="D38" s="251">
        <f>TRUNC($D$31*C38,2)</f>
        <v>127.55</v>
      </c>
      <c r="F38" s="254"/>
      <c r="G38" s="254"/>
    </row>
    <row r="39" spans="1:7">
      <c r="A39" s="245" t="s">
        <v>58</v>
      </c>
      <c r="D39" s="251">
        <f>TRUNC((SUM(D37:D38)),2)</f>
        <v>223.21</v>
      </c>
      <c r="F39" s="254"/>
      <c r="G39" s="254"/>
    </row>
    <row r="40" ht="15.75" spans="4:7">
      <c r="D40" s="251"/>
      <c r="F40" s="254"/>
      <c r="G40" s="254"/>
    </row>
    <row r="41" ht="16.5" spans="1:7">
      <c r="A41" s="255" t="s">
        <v>201</v>
      </c>
      <c r="B41" s="255"/>
      <c r="C41" s="256" t="s">
        <v>202</v>
      </c>
      <c r="D41" s="257">
        <f>D31</f>
        <v>1148</v>
      </c>
      <c r="F41" s="254"/>
      <c r="G41" s="254"/>
    </row>
    <row r="42" ht="16.5" spans="1:7">
      <c r="A42" s="255"/>
      <c r="B42" s="255"/>
      <c r="C42" s="258" t="s">
        <v>203</v>
      </c>
      <c r="D42" s="257">
        <f>D39</f>
        <v>223.21</v>
      </c>
      <c r="F42" s="254"/>
      <c r="G42" s="254"/>
    </row>
    <row r="43" ht="16.5" spans="1:7">
      <c r="A43" s="255"/>
      <c r="B43" s="255"/>
      <c r="C43" s="256" t="s">
        <v>204</v>
      </c>
      <c r="D43" s="259">
        <f>TRUNC((SUM(D41:D42)),2)</f>
        <v>1371.21</v>
      </c>
      <c r="F43" s="254"/>
      <c r="G43" s="254"/>
    </row>
    <row r="44" ht="15.75" spans="1:7">
      <c r="A44" s="245"/>
      <c r="C44" s="260"/>
      <c r="D44" s="251"/>
      <c r="F44" s="254"/>
      <c r="G44" s="254"/>
    </row>
    <row r="45" spans="1:4">
      <c r="A45" s="244" t="s">
        <v>77</v>
      </c>
      <c r="B45" s="244"/>
      <c r="C45" s="244"/>
      <c r="D45" s="244"/>
    </row>
    <row r="46" spans="1:4">
      <c r="A46" s="245" t="s">
        <v>78</v>
      </c>
      <c r="B46" s="249" t="s">
        <v>79</v>
      </c>
      <c r="C46" s="245" t="s">
        <v>38</v>
      </c>
      <c r="D46" s="245" t="s">
        <v>80</v>
      </c>
    </row>
    <row r="47" spans="1:4">
      <c r="A47" s="245" t="s">
        <v>42</v>
      </c>
      <c r="B47" t="s">
        <v>81</v>
      </c>
      <c r="C47" s="253">
        <v>0.2</v>
      </c>
      <c r="D47" s="251">
        <f t="shared" ref="D47:D54" si="0">TRUNC(($D$43*C47),2)</f>
        <v>274.24</v>
      </c>
    </row>
    <row r="48" spans="1:4">
      <c r="A48" s="245" t="s">
        <v>45</v>
      </c>
      <c r="B48" t="s">
        <v>82</v>
      </c>
      <c r="C48" s="253">
        <v>0.025</v>
      </c>
      <c r="D48" s="251">
        <f t="shared" si="0"/>
        <v>34.28</v>
      </c>
    </row>
    <row r="49" spans="1:4">
      <c r="A49" s="245" t="s">
        <v>48</v>
      </c>
      <c r="B49" t="s">
        <v>205</v>
      </c>
      <c r="C49" s="261">
        <v>0.06</v>
      </c>
      <c r="D49" s="195">
        <f t="shared" si="0"/>
        <v>82.27</v>
      </c>
    </row>
    <row r="50" spans="1:4">
      <c r="A50" s="245" t="s">
        <v>50</v>
      </c>
      <c r="B50" t="s">
        <v>84</v>
      </c>
      <c r="C50" s="253">
        <v>0.015</v>
      </c>
      <c r="D50" s="251">
        <f t="shared" si="0"/>
        <v>20.56</v>
      </c>
    </row>
    <row r="51" spans="1:4">
      <c r="A51" s="245" t="s">
        <v>53</v>
      </c>
      <c r="B51" t="s">
        <v>85</v>
      </c>
      <c r="C51" s="253">
        <v>0.01</v>
      </c>
      <c r="D51" s="251">
        <f t="shared" si="0"/>
        <v>13.71</v>
      </c>
    </row>
    <row r="52" spans="1:4">
      <c r="A52" s="245" t="s">
        <v>55</v>
      </c>
      <c r="B52" t="s">
        <v>86</v>
      </c>
      <c r="C52" s="253">
        <v>0.006</v>
      </c>
      <c r="D52" s="251">
        <f t="shared" si="0"/>
        <v>8.22</v>
      </c>
    </row>
    <row r="53" spans="1:4">
      <c r="A53" s="245" t="s">
        <v>87</v>
      </c>
      <c r="B53" t="s">
        <v>88</v>
      </c>
      <c r="C53" s="253">
        <v>0.002</v>
      </c>
      <c r="D53" s="251">
        <f t="shared" si="0"/>
        <v>2.74</v>
      </c>
    </row>
    <row r="54" spans="1:4">
      <c r="A54" s="245" t="s">
        <v>89</v>
      </c>
      <c r="B54" t="s">
        <v>90</v>
      </c>
      <c r="C54" s="253">
        <v>0.08</v>
      </c>
      <c r="D54" s="251">
        <f t="shared" si="0"/>
        <v>109.69</v>
      </c>
    </row>
    <row r="55" spans="1:4">
      <c r="A55" s="245" t="s">
        <v>58</v>
      </c>
      <c r="C55" s="260">
        <f>SUM(C47:C54)</f>
        <v>0.398</v>
      </c>
      <c r="D55" s="251">
        <f>TRUNC(SUM(D47:D54),2)</f>
        <v>545.71</v>
      </c>
    </row>
    <row r="56" spans="1:4">
      <c r="A56" s="245"/>
      <c r="C56" s="260"/>
      <c r="D56" s="251"/>
    </row>
    <row r="57" spans="1:4">
      <c r="A57" s="244" t="s">
        <v>95</v>
      </c>
      <c r="B57" s="244"/>
      <c r="C57" s="244"/>
      <c r="D57" s="244"/>
    </row>
    <row r="58" spans="1:4">
      <c r="A58" s="245" t="s">
        <v>96</v>
      </c>
      <c r="B58" s="249" t="s">
        <v>97</v>
      </c>
      <c r="C58" s="245" t="s">
        <v>18</v>
      </c>
      <c r="D58" s="245" t="s">
        <v>19</v>
      </c>
    </row>
    <row r="59" spans="1:4">
      <c r="A59" s="245" t="s">
        <v>42</v>
      </c>
      <c r="B59" t="s">
        <v>98</v>
      </c>
      <c r="C59" s="246"/>
      <c r="D59" s="262">
        <f>TRUNC(((22*4.35)*2)-((D25/100)*6),2)</f>
        <v>122.52</v>
      </c>
    </row>
    <row r="60" spans="1:4">
      <c r="A60" s="245" t="s">
        <v>45</v>
      </c>
      <c r="B60" t="s">
        <v>99</v>
      </c>
      <c r="C60" s="246" t="str">
        <f>C9</f>
        <v>CCT PB000047/2021</v>
      </c>
      <c r="D60" s="195">
        <f>TRUNC((((22*18))-(((22*18))*0.2)),2)</f>
        <v>316.8</v>
      </c>
    </row>
    <row r="61" spans="1:4">
      <c r="A61" s="245" t="s">
        <v>48</v>
      </c>
      <c r="B61" t="s">
        <v>100</v>
      </c>
      <c r="C61" s="246"/>
      <c r="D61" s="195">
        <v>0</v>
      </c>
    </row>
    <row r="62" spans="1:6">
      <c r="A62" s="263" t="s">
        <v>50</v>
      </c>
      <c r="B62" s="264" t="s">
        <v>206</v>
      </c>
      <c r="C62" s="265"/>
      <c r="D62" s="265">
        <v>0</v>
      </c>
      <c r="F62" s="264"/>
    </row>
    <row r="63" spans="1:4">
      <c r="A63" s="245" t="s">
        <v>53</v>
      </c>
      <c r="B63" s="249" t="s">
        <v>207</v>
      </c>
      <c r="C63" s="246" t="str">
        <f>C60</f>
        <v>CCT PB000047/2021</v>
      </c>
      <c r="D63" s="195">
        <v>15</v>
      </c>
    </row>
    <row r="64" spans="1:4">
      <c r="A64" s="245" t="s">
        <v>55</v>
      </c>
      <c r="B64" s="266" t="s">
        <v>208</v>
      </c>
      <c r="C64" s="265" t="str">
        <f>C60</f>
        <v>CCT PB000047/2021</v>
      </c>
      <c r="D64" s="195">
        <v>5</v>
      </c>
    </row>
    <row r="65" spans="1:4">
      <c r="A65" s="245" t="s">
        <v>58</v>
      </c>
      <c r="D65" s="251">
        <f>TRUNC((SUM(D59:D64)),2)</f>
        <v>459.32</v>
      </c>
    </row>
    <row r="66" spans="1:4">
      <c r="A66" s="245"/>
      <c r="D66" s="251"/>
    </row>
    <row r="67" spans="1:4">
      <c r="A67" s="244" t="s">
        <v>105</v>
      </c>
      <c r="B67" s="244"/>
      <c r="C67" s="244"/>
      <c r="D67" s="244"/>
    </row>
    <row r="68" spans="1:4">
      <c r="A68" s="245" t="s">
        <v>106</v>
      </c>
      <c r="B68" s="249" t="s">
        <v>107</v>
      </c>
      <c r="C68" s="245" t="s">
        <v>18</v>
      </c>
      <c r="D68" s="245" t="s">
        <v>19</v>
      </c>
    </row>
    <row r="69" spans="1:4">
      <c r="A69" s="245" t="s">
        <v>65</v>
      </c>
      <c r="B69" t="s">
        <v>66</v>
      </c>
      <c r="C69" s="245"/>
      <c r="D69" s="251">
        <f>D39</f>
        <v>223.21</v>
      </c>
    </row>
    <row r="70" spans="1:4">
      <c r="A70" s="245" t="s">
        <v>78</v>
      </c>
      <c r="B70" t="s">
        <v>79</v>
      </c>
      <c r="C70" s="245"/>
      <c r="D70" s="251">
        <f>D55</f>
        <v>545.71</v>
      </c>
    </row>
    <row r="71" spans="1:4">
      <c r="A71" s="245" t="s">
        <v>96</v>
      </c>
      <c r="B71" t="s">
        <v>97</v>
      </c>
      <c r="C71" s="245"/>
      <c r="D71" s="251">
        <f>D65</f>
        <v>459.32</v>
      </c>
    </row>
    <row r="72" spans="1:4">
      <c r="A72" s="245" t="s">
        <v>58</v>
      </c>
      <c r="C72" s="245"/>
      <c r="D72" s="251">
        <f>TRUNC((SUM(D69:D71)),2)</f>
        <v>1228.24</v>
      </c>
    </row>
    <row r="74" spans="1:4">
      <c r="A74" s="228" t="s">
        <v>108</v>
      </c>
      <c r="B74" s="228"/>
      <c r="C74" s="228"/>
      <c r="D74" s="228"/>
    </row>
    <row r="75" spans="1:4">
      <c r="A75" s="245" t="s">
        <v>109</v>
      </c>
      <c r="B75" s="249" t="s">
        <v>110</v>
      </c>
      <c r="C75" s="245" t="s">
        <v>38</v>
      </c>
      <c r="D75" s="245" t="s">
        <v>19</v>
      </c>
    </row>
    <row r="76" spans="1:4">
      <c r="A76" s="245" t="s">
        <v>42</v>
      </c>
      <c r="B76" t="s">
        <v>111</v>
      </c>
      <c r="C76" s="261">
        <f>((1/12)*5%)</f>
        <v>0.00416666666666667</v>
      </c>
      <c r="D76" s="195">
        <f>TRUNC(($D$31*C76),2)</f>
        <v>4.78</v>
      </c>
    </row>
    <row r="77" spans="1:4">
      <c r="A77" s="245" t="s">
        <v>45</v>
      </c>
      <c r="B77" t="s">
        <v>112</v>
      </c>
      <c r="C77" s="267">
        <v>0.08</v>
      </c>
      <c r="D77" s="251">
        <f>TRUNC(($D$76*C77),2)</f>
        <v>0.38</v>
      </c>
    </row>
    <row r="78" ht="30" spans="1:4">
      <c r="A78" s="245" t="s">
        <v>48</v>
      </c>
      <c r="B78" s="268" t="s">
        <v>113</v>
      </c>
      <c r="C78" s="269">
        <f>(0.08*0.4*0.05)</f>
        <v>0.0016</v>
      </c>
      <c r="D78" s="265">
        <f>TRUNC(($D$31*C78),2)</f>
        <v>1.83</v>
      </c>
    </row>
    <row r="79" spans="1:4">
      <c r="A79" s="245" t="s">
        <v>50</v>
      </c>
      <c r="B79" t="s">
        <v>114</v>
      </c>
      <c r="C79" s="270">
        <f>(((7/30)/12)*0.95)</f>
        <v>0.0184722222222222</v>
      </c>
      <c r="D79" s="271">
        <f>TRUNC(($D$31*C79),2)</f>
        <v>21.2</v>
      </c>
    </row>
    <row r="80" ht="30" spans="1:4">
      <c r="A80" s="245" t="s">
        <v>53</v>
      </c>
      <c r="B80" s="268" t="s">
        <v>209</v>
      </c>
      <c r="C80" s="269">
        <f>C55</f>
        <v>0.398</v>
      </c>
      <c r="D80" s="265">
        <f>TRUNC(($D$79*C80),2)</f>
        <v>8.43</v>
      </c>
    </row>
    <row r="81" ht="30" spans="1:4">
      <c r="A81" s="245" t="s">
        <v>55</v>
      </c>
      <c r="B81" s="268" t="s">
        <v>115</v>
      </c>
      <c r="C81" s="270">
        <f>(0.08*0.4*0.95)</f>
        <v>0.0304</v>
      </c>
      <c r="D81" s="298">
        <f>TRUNC(($D$31*C81),2)</f>
        <v>34.89</v>
      </c>
    </row>
    <row r="82" spans="1:4">
      <c r="A82" s="245" t="s">
        <v>58</v>
      </c>
      <c r="C82" s="267">
        <f>SUM(C76:C81)</f>
        <v>0.532638888888889</v>
      </c>
      <c r="D82" s="251">
        <f>TRUNC((SUM(D76:D81)),2)</f>
        <v>71.51</v>
      </c>
    </row>
    <row r="83" ht="15.75" spans="1:4">
      <c r="A83" s="245"/>
      <c r="D83" s="251"/>
    </row>
    <row r="84" ht="16.5" spans="1:4">
      <c r="A84" s="255" t="s">
        <v>210</v>
      </c>
      <c r="B84" s="255"/>
      <c r="C84" s="256" t="s">
        <v>202</v>
      </c>
      <c r="D84" s="257">
        <f>D31</f>
        <v>1148</v>
      </c>
    </row>
    <row r="85" ht="16.5" spans="1:4">
      <c r="A85" s="255"/>
      <c r="B85" s="255"/>
      <c r="C85" s="258" t="s">
        <v>211</v>
      </c>
      <c r="D85" s="257">
        <f>D72</f>
        <v>1228.24</v>
      </c>
    </row>
    <row r="86" ht="16.5" spans="1:4">
      <c r="A86" s="255"/>
      <c r="B86" s="255"/>
      <c r="C86" s="256" t="s">
        <v>212</v>
      </c>
      <c r="D86" s="257">
        <f>D82</f>
        <v>71.51</v>
      </c>
    </row>
    <row r="87" ht="16.5" spans="1:4">
      <c r="A87" s="255"/>
      <c r="B87" s="255"/>
      <c r="C87" s="258" t="s">
        <v>204</v>
      </c>
      <c r="D87" s="259">
        <f>TRUNC((SUM(D84:D86)),2)</f>
        <v>2447.75</v>
      </c>
    </row>
    <row r="88" ht="15.75" spans="1:4">
      <c r="A88" s="245"/>
      <c r="D88" s="251"/>
    </row>
    <row r="89" spans="1:4">
      <c r="A89" s="272" t="s">
        <v>127</v>
      </c>
      <c r="B89" s="272"/>
      <c r="C89" s="272"/>
      <c r="D89" s="272"/>
    </row>
    <row r="90" spans="1:4">
      <c r="A90" s="244" t="s">
        <v>128</v>
      </c>
      <c r="B90" s="244"/>
      <c r="C90" s="244"/>
      <c r="D90" s="244"/>
    </row>
    <row r="91" spans="1:4">
      <c r="A91" s="245" t="s">
        <v>129</v>
      </c>
      <c r="B91" s="249" t="s">
        <v>130</v>
      </c>
      <c r="C91" s="245" t="s">
        <v>38</v>
      </c>
      <c r="D91" s="245" t="s">
        <v>19</v>
      </c>
    </row>
    <row r="92" spans="1:4">
      <c r="A92" s="245" t="s">
        <v>42</v>
      </c>
      <c r="B92" t="s">
        <v>213</v>
      </c>
      <c r="C92" s="267">
        <f>(((1+1/3)/12)/12)+((1/12)/12)</f>
        <v>0.0162037037037037</v>
      </c>
      <c r="D92" s="251">
        <f>TRUNC(($D$87*C92),2)</f>
        <v>39.66</v>
      </c>
    </row>
    <row r="93" spans="1:4">
      <c r="A93" s="245" t="s">
        <v>45</v>
      </c>
      <c r="B93" t="s">
        <v>133</v>
      </c>
      <c r="C93" s="261">
        <f>((2/30)/12)</f>
        <v>0.00555555555555556</v>
      </c>
      <c r="D93" s="265">
        <f t="shared" ref="D92:D96" si="1">TRUNC(($D$87*C93),2)</f>
        <v>13.59</v>
      </c>
    </row>
    <row r="94" spans="1:4">
      <c r="A94" s="245" t="s">
        <v>48</v>
      </c>
      <c r="B94" t="s">
        <v>134</v>
      </c>
      <c r="C94" s="261">
        <f>((5/30)/12)*0.02</f>
        <v>0.000277777777777778</v>
      </c>
      <c r="D94" s="265">
        <f t="shared" si="1"/>
        <v>0.67</v>
      </c>
    </row>
    <row r="95" ht="30" spans="1:4">
      <c r="A95" s="263" t="s">
        <v>50</v>
      </c>
      <c r="B95" s="268" t="s">
        <v>135</v>
      </c>
      <c r="C95" s="269">
        <f>((15/30)/12)*0.08</f>
        <v>0.00333333333333333</v>
      </c>
      <c r="D95" s="265">
        <f t="shared" si="1"/>
        <v>8.15</v>
      </c>
    </row>
    <row r="96" spans="1:4">
      <c r="A96" s="245" t="s">
        <v>53</v>
      </c>
      <c r="B96" t="s">
        <v>136</v>
      </c>
      <c r="C96" s="261">
        <f>((1+1/3)/12)*0.03*((4/12))</f>
        <v>0.00111111111111111</v>
      </c>
      <c r="D96" s="265">
        <f t="shared" si="1"/>
        <v>2.71</v>
      </c>
    </row>
    <row r="97" spans="1:4">
      <c r="A97" s="245" t="s">
        <v>55</v>
      </c>
      <c r="B97" s="268" t="s">
        <v>214</v>
      </c>
      <c r="C97" s="273">
        <v>0</v>
      </c>
      <c r="D97" s="265">
        <f>TRUNC($D$87*C97)</f>
        <v>0</v>
      </c>
    </row>
    <row r="98" spans="1:4">
      <c r="A98" s="245" t="s">
        <v>58</v>
      </c>
      <c r="C98" s="267">
        <f>SUM(C92:C97)</f>
        <v>0.0264814814814815</v>
      </c>
      <c r="D98" s="251">
        <f>TRUNC((SUM(D92:D97)),2)</f>
        <v>64.78</v>
      </c>
    </row>
    <row r="99" spans="1:4">
      <c r="A99" s="245"/>
      <c r="C99" s="245"/>
      <c r="D99" s="251"/>
    </row>
    <row r="100" spans="1:4">
      <c r="A100" s="244" t="s">
        <v>144</v>
      </c>
      <c r="B100" s="244"/>
      <c r="C100" s="244"/>
      <c r="D100" s="244"/>
    </row>
    <row r="101" spans="1:4">
      <c r="A101" s="245" t="s">
        <v>145</v>
      </c>
      <c r="B101" s="249" t="s">
        <v>146</v>
      </c>
      <c r="C101" s="245" t="s">
        <v>18</v>
      </c>
      <c r="D101" s="245" t="s">
        <v>19</v>
      </c>
    </row>
    <row r="102" ht="90" spans="1:4">
      <c r="A102" s="263" t="s">
        <v>42</v>
      </c>
      <c r="B102" s="274" t="s">
        <v>147</v>
      </c>
      <c r="C102" s="205" t="s">
        <v>215</v>
      </c>
      <c r="D102" s="206" t="s">
        <v>216</v>
      </c>
    </row>
    <row r="103" spans="1:4">
      <c r="A103" s="245" t="s">
        <v>58</v>
      </c>
      <c r="C103" s="275"/>
      <c r="D103" s="207" t="str">
        <f>D102</f>
        <v>*=TRUNCAR(($D$86/220)*(1*(365/12))/2)</v>
      </c>
    </row>
    <row r="105" spans="1:4">
      <c r="A105" s="244" t="s">
        <v>148</v>
      </c>
      <c r="B105" s="244"/>
      <c r="C105" s="244"/>
      <c r="D105" s="244"/>
    </row>
    <row r="106" spans="1:4">
      <c r="A106" s="245" t="s">
        <v>149</v>
      </c>
      <c r="B106" s="249" t="s">
        <v>150</v>
      </c>
      <c r="C106" s="245" t="s">
        <v>18</v>
      </c>
      <c r="D106" s="245" t="s">
        <v>19</v>
      </c>
    </row>
    <row r="107" spans="1:4">
      <c r="A107" s="245" t="s">
        <v>129</v>
      </c>
      <c r="B107" t="s">
        <v>130</v>
      </c>
      <c r="D107" s="195">
        <f>D98</f>
        <v>64.78</v>
      </c>
    </row>
    <row r="108" spans="1:4">
      <c r="A108" s="245" t="s">
        <v>145</v>
      </c>
      <c r="B108" t="s">
        <v>151</v>
      </c>
      <c r="C108" s="249"/>
      <c r="D108" s="276" t="str">
        <f>Submódulo4.260_55107[[#Totals],[Valor]]</f>
        <v>*=TRUNCAR(($D$86/220)*(1*(365/12))/2)</v>
      </c>
    </row>
    <row r="109" ht="60" spans="1:4">
      <c r="A109" s="263" t="s">
        <v>58</v>
      </c>
      <c r="B109" s="264"/>
      <c r="C109" s="205" t="s">
        <v>217</v>
      </c>
      <c r="D109" s="277">
        <f>TRUNC((SUM(D107:D108)),2)</f>
        <v>64.78</v>
      </c>
    </row>
    <row r="111" spans="1:4">
      <c r="A111" s="228" t="s">
        <v>152</v>
      </c>
      <c r="B111" s="228"/>
      <c r="C111" s="228"/>
      <c r="D111" s="228"/>
    </row>
    <row r="112" ht="37" customHeight="1" spans="1:4">
      <c r="A112" s="263" t="s">
        <v>153</v>
      </c>
      <c r="B112" s="264" t="s">
        <v>154</v>
      </c>
      <c r="C112" s="263" t="s">
        <v>18</v>
      </c>
      <c r="D112" s="263" t="s">
        <v>19</v>
      </c>
    </row>
    <row r="113" spans="1:4">
      <c r="A113" s="245" t="s">
        <v>42</v>
      </c>
      <c r="B113" t="s">
        <v>218</v>
      </c>
      <c r="D113" s="178">
        <f>Uniformes!G11</f>
        <v>92.4</v>
      </c>
    </row>
    <row r="114" spans="1:4">
      <c r="A114" s="245" t="s">
        <v>45</v>
      </c>
      <c r="B114" t="s">
        <v>219</v>
      </c>
      <c r="D114" s="178">
        <f>EPC!E21</f>
        <v>8.44</v>
      </c>
    </row>
    <row r="115" spans="1:4">
      <c r="A115" s="245" t="s">
        <v>48</v>
      </c>
      <c r="B115" t="s">
        <v>156</v>
      </c>
      <c r="D115" s="178">
        <v>0</v>
      </c>
    </row>
    <row r="116" spans="1:4">
      <c r="A116" s="245" t="s">
        <v>50</v>
      </c>
      <c r="B116" t="s">
        <v>157</v>
      </c>
      <c r="D116" s="178">
        <v>0</v>
      </c>
    </row>
    <row r="117" spans="1:4">
      <c r="A117" s="245" t="s">
        <v>53</v>
      </c>
      <c r="B117" t="s">
        <v>220</v>
      </c>
      <c r="C117" s="245"/>
      <c r="D117" s="299">
        <v>0</v>
      </c>
    </row>
    <row r="118" spans="1:4">
      <c r="A118" s="245" t="s">
        <v>58</v>
      </c>
      <c r="D118" s="181">
        <f>TRUNC((SUM(D113:D117)),2)</f>
        <v>100.84</v>
      </c>
    </row>
    <row r="119" ht="15.75"/>
    <row r="120" ht="16.5" spans="1:4">
      <c r="A120" s="255" t="s">
        <v>221</v>
      </c>
      <c r="B120" s="255"/>
      <c r="C120" s="256" t="s">
        <v>202</v>
      </c>
      <c r="D120" s="257">
        <f>D31</f>
        <v>1148</v>
      </c>
    </row>
    <row r="121" ht="16.5" spans="1:4">
      <c r="A121" s="255"/>
      <c r="B121" s="255"/>
      <c r="C121" s="258" t="s">
        <v>211</v>
      </c>
      <c r="D121" s="257">
        <f>D72</f>
        <v>1228.24</v>
      </c>
    </row>
    <row r="122" ht="16.5" spans="1:4">
      <c r="A122" s="255"/>
      <c r="B122" s="255"/>
      <c r="C122" s="256" t="s">
        <v>212</v>
      </c>
      <c r="D122" s="257">
        <f>D82</f>
        <v>71.51</v>
      </c>
    </row>
    <row r="123" ht="16.5" spans="1:4">
      <c r="A123" s="255"/>
      <c r="B123" s="255"/>
      <c r="C123" s="258" t="s">
        <v>222</v>
      </c>
      <c r="D123" s="257">
        <f>D109</f>
        <v>64.78</v>
      </c>
    </row>
    <row r="124" ht="16.5" spans="1:4">
      <c r="A124" s="255"/>
      <c r="B124" s="255"/>
      <c r="C124" s="256" t="s">
        <v>223</v>
      </c>
      <c r="D124" s="257">
        <f>D118</f>
        <v>100.84</v>
      </c>
    </row>
    <row r="125" ht="16.5" spans="1:4">
      <c r="A125" s="255"/>
      <c r="B125" s="255"/>
      <c r="C125" s="258" t="s">
        <v>204</v>
      </c>
      <c r="D125" s="259">
        <f>TRUNC((SUM(D120:D124)),2)</f>
        <v>2613.37</v>
      </c>
    </row>
    <row r="126" ht="15.75"/>
    <row r="127" spans="1:4">
      <c r="A127" s="228" t="s">
        <v>164</v>
      </c>
      <c r="B127" s="228"/>
      <c r="C127" s="228"/>
      <c r="D127" s="228"/>
    </row>
    <row r="128" ht="15.75" spans="1:7">
      <c r="A128" s="245" t="s">
        <v>165</v>
      </c>
      <c r="B128" t="s">
        <v>166</v>
      </c>
      <c r="C128" s="245" t="s">
        <v>38</v>
      </c>
      <c r="D128" s="245" t="s">
        <v>19</v>
      </c>
      <c r="F128" s="278" t="s">
        <v>224</v>
      </c>
      <c r="G128" s="278"/>
    </row>
    <row r="129" ht="15.75" spans="1:7">
      <c r="A129" s="245" t="s">
        <v>42</v>
      </c>
      <c r="B129" t="s">
        <v>167</v>
      </c>
      <c r="C129" s="191">
        <v>0.044</v>
      </c>
      <c r="D129" s="178">
        <f>TRUNC(($D$125*C129),2)</f>
        <v>114.98</v>
      </c>
      <c r="F129" s="279" t="s">
        <v>225</v>
      </c>
      <c r="G129" s="269">
        <f>C131</f>
        <v>0.0865</v>
      </c>
    </row>
    <row r="130" ht="15.75" spans="1:7">
      <c r="A130" s="245" t="s">
        <v>45</v>
      </c>
      <c r="B130" t="s">
        <v>59</v>
      </c>
      <c r="C130" s="191">
        <v>0.0413</v>
      </c>
      <c r="D130" s="178">
        <f>TRUNC((C130*(D125+D129)),2)</f>
        <v>112.68</v>
      </c>
      <c r="F130" s="280" t="s">
        <v>226</v>
      </c>
      <c r="G130" s="300">
        <f>TRUNC(SUM(D125,D129,D130),2)</f>
        <v>2841.03</v>
      </c>
    </row>
    <row r="131" ht="15.75" spans="1:7">
      <c r="A131" s="245" t="s">
        <v>48</v>
      </c>
      <c r="B131" t="s">
        <v>168</v>
      </c>
      <c r="C131" s="191">
        <f>SUM(C132:C134)</f>
        <v>0.0865</v>
      </c>
      <c r="D131" s="178">
        <f>SUM(D132:D134)</f>
        <v>269.01</v>
      </c>
      <c r="F131" s="279" t="s">
        <v>227</v>
      </c>
      <c r="G131" s="282">
        <f>(100-8.65)/100</f>
        <v>0.9135</v>
      </c>
    </row>
    <row r="132" ht="15.75" spans="1:7">
      <c r="A132" s="245"/>
      <c r="B132" t="s">
        <v>228</v>
      </c>
      <c r="C132" s="261">
        <v>0.0065</v>
      </c>
      <c r="D132" s="195">
        <f t="shared" ref="D132:D134" si="2">TRUNC(($G$132*C132),2)</f>
        <v>20.21</v>
      </c>
      <c r="F132" s="280" t="s">
        <v>224</v>
      </c>
      <c r="G132" s="300">
        <f>TRUNC((G130/G131),2)</f>
        <v>3110.04</v>
      </c>
    </row>
    <row r="133" ht="15.75" spans="1:4">
      <c r="A133" s="245"/>
      <c r="B133" t="s">
        <v>229</v>
      </c>
      <c r="C133" s="261">
        <v>0.03</v>
      </c>
      <c r="D133" s="195">
        <f t="shared" si="2"/>
        <v>93.3</v>
      </c>
    </row>
    <row r="134" spans="1:4">
      <c r="A134" s="245"/>
      <c r="B134" t="s">
        <v>230</v>
      </c>
      <c r="C134" s="261">
        <v>0.05</v>
      </c>
      <c r="D134" s="195">
        <f t="shared" si="2"/>
        <v>155.5</v>
      </c>
    </row>
    <row r="135" spans="1:4">
      <c r="A135" s="245" t="s">
        <v>58</v>
      </c>
      <c r="B135" s="22"/>
      <c r="C135" s="283"/>
      <c r="D135" s="251">
        <f>SUM(D129:D131)</f>
        <v>496.67</v>
      </c>
    </row>
    <row r="136" spans="1:4">
      <c r="A136" s="245"/>
      <c r="C136" s="283"/>
      <c r="D136" s="251"/>
    </row>
    <row r="138" spans="1:4">
      <c r="A138" s="228" t="s">
        <v>172</v>
      </c>
      <c r="B138" s="228"/>
      <c r="C138" s="228"/>
      <c r="D138" s="228"/>
    </row>
    <row r="139" spans="1:4">
      <c r="A139" s="245" t="s">
        <v>16</v>
      </c>
      <c r="B139" s="245" t="s">
        <v>173</v>
      </c>
      <c r="C139" s="245" t="s">
        <v>102</v>
      </c>
      <c r="D139" s="245" t="s">
        <v>19</v>
      </c>
    </row>
    <row r="140" spans="1:4">
      <c r="A140" s="245" t="s">
        <v>42</v>
      </c>
      <c r="B140" t="s">
        <v>36</v>
      </c>
      <c r="D140" s="251">
        <f>D31</f>
        <v>1148</v>
      </c>
    </row>
    <row r="141" spans="1:4">
      <c r="A141" s="245" t="s">
        <v>45</v>
      </c>
      <c r="B141" t="s">
        <v>61</v>
      </c>
      <c r="D141" s="251">
        <f>D72</f>
        <v>1228.24</v>
      </c>
    </row>
    <row r="142" spans="1:4">
      <c r="A142" s="245" t="s">
        <v>48</v>
      </c>
      <c r="B142" t="s">
        <v>108</v>
      </c>
      <c r="D142" s="251">
        <f>D82</f>
        <v>71.51</v>
      </c>
    </row>
    <row r="143" spans="1:4">
      <c r="A143" s="245" t="s">
        <v>50</v>
      </c>
      <c r="B143" t="s">
        <v>174</v>
      </c>
      <c r="D143" s="251">
        <f>D109</f>
        <v>64.78</v>
      </c>
    </row>
    <row r="144" spans="1:4">
      <c r="A144" s="245" t="s">
        <v>53</v>
      </c>
      <c r="B144" t="s">
        <v>152</v>
      </c>
      <c r="D144" s="251">
        <f>D118</f>
        <v>100.84</v>
      </c>
    </row>
    <row r="145" spans="2:4">
      <c r="B145" s="284" t="s">
        <v>175</v>
      </c>
      <c r="D145" s="251">
        <f>SUM(D140:D144)</f>
        <v>2613.37</v>
      </c>
    </row>
    <row r="146" spans="1:4">
      <c r="A146" s="245" t="s">
        <v>55</v>
      </c>
      <c r="B146" t="s">
        <v>164</v>
      </c>
      <c r="D146" s="251">
        <f>D135</f>
        <v>496.67</v>
      </c>
    </row>
    <row r="147" spans="1:4">
      <c r="A147" s="285"/>
      <c r="B147" s="286" t="s">
        <v>231</v>
      </c>
      <c r="C147" s="285"/>
      <c r="D147" s="287">
        <f>TRUNC((SUM(D140:D144)+D146),2)</f>
        <v>3110.04</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7"/>
  <sheetViews>
    <sheetView zoomScale="90" zoomScaleNormal="90" topLeftCell="A2" workbookViewId="0">
      <selection activeCell="F13" sqref="F13"/>
    </sheetView>
  </sheetViews>
  <sheetFormatPr defaultColWidth="9.14285714285714" defaultRowHeight="15" outlineLevelCol="6"/>
  <cols>
    <col min="1" max="1" width="11.2285714285714" customWidth="1"/>
    <col min="2" max="2" width="50.6095238095238" customWidth="1"/>
    <col min="3" max="3" width="27.0285714285714" customWidth="1"/>
    <col min="4" max="4" width="31.6" customWidth="1"/>
    <col min="6" max="6" width="22.8571428571429" customWidth="1"/>
    <col min="7" max="7" width="11.4285714285714" customWidth="1"/>
    <col min="9" max="9" width="11.4285714285714" customWidth="1"/>
  </cols>
  <sheetData>
    <row r="2" ht="19.5" spans="1:4">
      <c r="A2" s="221" t="s">
        <v>177</v>
      </c>
      <c r="B2" s="221"/>
      <c r="C2" s="221"/>
      <c r="D2" s="221"/>
    </row>
    <row r="3" ht="15.75" spans="1:4">
      <c r="A3" s="222" t="s">
        <v>178</v>
      </c>
      <c r="B3" s="222"/>
      <c r="C3" s="222"/>
      <c r="D3" s="222"/>
    </row>
    <row r="4" spans="1:4">
      <c r="A4" s="223" t="s">
        <v>179</v>
      </c>
      <c r="B4" s="224" t="s">
        <v>180</v>
      </c>
      <c r="C4" s="225"/>
      <c r="D4" s="225"/>
    </row>
    <row r="5" spans="1:4">
      <c r="A5" s="226"/>
      <c r="B5" s="227"/>
      <c r="C5" s="227"/>
      <c r="D5" s="227"/>
    </row>
    <row r="6" ht="15.75" spans="1:4">
      <c r="A6" s="228" t="s">
        <v>181</v>
      </c>
      <c r="B6" s="228"/>
      <c r="C6" s="228"/>
      <c r="D6" s="228"/>
    </row>
    <row r="7" ht="15.75" spans="1:4">
      <c r="A7" s="229" t="s">
        <v>42</v>
      </c>
      <c r="B7" s="230" t="s">
        <v>182</v>
      </c>
      <c r="C7" s="231" t="s">
        <v>183</v>
      </c>
      <c r="D7" s="231"/>
    </row>
    <row r="8" spans="1:4">
      <c r="A8" s="232" t="s">
        <v>45</v>
      </c>
      <c r="B8" s="233" t="s">
        <v>184</v>
      </c>
      <c r="C8" s="234" t="s">
        <v>185</v>
      </c>
      <c r="D8" s="234"/>
    </row>
    <row r="9" spans="1:4">
      <c r="A9" s="235" t="s">
        <v>48</v>
      </c>
      <c r="B9" s="236" t="s">
        <v>186</v>
      </c>
      <c r="C9" s="234" t="s">
        <v>187</v>
      </c>
      <c r="D9" s="234"/>
    </row>
    <row r="10" spans="1:4">
      <c r="A10" s="232" t="s">
        <v>53</v>
      </c>
      <c r="B10" s="233" t="s">
        <v>188</v>
      </c>
      <c r="C10" s="234" t="s">
        <v>189</v>
      </c>
      <c r="D10" s="234"/>
    </row>
    <row r="11" ht="15.75" spans="1:4">
      <c r="A11" s="237" t="s">
        <v>190</v>
      </c>
      <c r="B11" s="237"/>
      <c r="C11" s="237"/>
      <c r="D11" s="237"/>
    </row>
    <row r="12" ht="16.5" spans="1:4">
      <c r="A12" s="238" t="s">
        <v>191</v>
      </c>
      <c r="B12" s="238"/>
      <c r="C12" s="237" t="s">
        <v>192</v>
      </c>
      <c r="D12" s="239" t="s">
        <v>193</v>
      </c>
    </row>
    <row r="13" ht="15.75" spans="1:4">
      <c r="A13" s="240" t="s">
        <v>232</v>
      </c>
      <c r="B13" s="240"/>
      <c r="C13" s="234" t="s">
        <v>195</v>
      </c>
      <c r="D13" s="241">
        <f>RESUMO!D4</f>
        <v>1</v>
      </c>
    </row>
    <row r="14" spans="1:4">
      <c r="A14" s="242"/>
      <c r="B14" s="242"/>
      <c r="C14" s="234"/>
      <c r="D14" s="243"/>
    </row>
    <row r="15" ht="15.75" spans="1:7">
      <c r="A15" s="237" t="s">
        <v>14</v>
      </c>
      <c r="B15" s="237"/>
      <c r="C15" s="237"/>
      <c r="D15" s="237"/>
      <c r="F15" s="244"/>
      <c r="G15" s="244"/>
    </row>
    <row r="16" ht="15.75" spans="1:4">
      <c r="A16" s="245" t="s">
        <v>16</v>
      </c>
      <c r="B16" t="s">
        <v>17</v>
      </c>
      <c r="C16" s="245" t="s">
        <v>18</v>
      </c>
      <c r="D16" s="245" t="s">
        <v>19</v>
      </c>
    </row>
    <row r="17" spans="1:4">
      <c r="A17" s="245">
        <v>1</v>
      </c>
      <c r="B17" t="s">
        <v>20</v>
      </c>
      <c r="C17" s="246" t="s">
        <v>102</v>
      </c>
      <c r="D17" s="246" t="str">
        <f>A13</f>
        <v>Copeiro(a)</v>
      </c>
    </row>
    <row r="18" spans="1:4">
      <c r="A18" s="245">
        <v>2</v>
      </c>
      <c r="B18" t="s">
        <v>23</v>
      </c>
      <c r="C18" s="246" t="s">
        <v>196</v>
      </c>
      <c r="D18" s="246" t="s">
        <v>233</v>
      </c>
    </row>
    <row r="19" spans="1:4">
      <c r="A19" s="245">
        <v>3</v>
      </c>
      <c r="B19" t="s">
        <v>26</v>
      </c>
      <c r="C19" s="246" t="str">
        <f>C9</f>
        <v>CCT PB000047/2021</v>
      </c>
      <c r="D19" s="195">
        <v>1103</v>
      </c>
    </row>
    <row r="20" spans="1:4">
      <c r="A20" s="245">
        <v>4</v>
      </c>
      <c r="B20" t="s">
        <v>29</v>
      </c>
      <c r="C20" s="246" t="str">
        <f>C9</f>
        <v>CCT PB000047/2021</v>
      </c>
      <c r="D20" s="247" t="s">
        <v>198</v>
      </c>
    </row>
    <row r="21" spans="1:4">
      <c r="A21" s="245">
        <v>5</v>
      </c>
      <c r="B21" t="s">
        <v>33</v>
      </c>
      <c r="C21" s="246" t="str">
        <f>C9</f>
        <v>CCT PB000047/2021</v>
      </c>
      <c r="D21" s="248" t="s">
        <v>199</v>
      </c>
    </row>
    <row r="22" spans="6:7">
      <c r="F22" s="244"/>
      <c r="G22" s="244"/>
    </row>
    <row r="23" spans="1:4">
      <c r="A23" s="228" t="s">
        <v>36</v>
      </c>
      <c r="B23" s="228"/>
      <c r="C23" s="228"/>
      <c r="D23" s="228"/>
    </row>
    <row r="24" spans="1:7">
      <c r="A24" s="245" t="s">
        <v>39</v>
      </c>
      <c r="B24" s="249" t="s">
        <v>40</v>
      </c>
      <c r="C24" s="245" t="s">
        <v>18</v>
      </c>
      <c r="D24" s="245" t="s">
        <v>19</v>
      </c>
      <c r="G24" s="250"/>
    </row>
    <row r="25" spans="1:7">
      <c r="A25" s="245" t="s">
        <v>42</v>
      </c>
      <c r="B25" t="s">
        <v>43</v>
      </c>
      <c r="C25" s="247" t="s">
        <v>234</v>
      </c>
      <c r="D25" s="195">
        <f>D19</f>
        <v>1103</v>
      </c>
      <c r="G25" s="250"/>
    </row>
    <row r="26" spans="1:7">
      <c r="A26" s="245" t="s">
        <v>45</v>
      </c>
      <c r="B26" t="s">
        <v>46</v>
      </c>
      <c r="C26" s="247"/>
      <c r="D26" s="262">
        <v>0</v>
      </c>
      <c r="G26" s="250"/>
    </row>
    <row r="27" spans="1:4">
      <c r="A27" s="245" t="s">
        <v>48</v>
      </c>
      <c r="B27" t="s">
        <v>49</v>
      </c>
      <c r="C27" s="247"/>
      <c r="D27" s="195">
        <v>0</v>
      </c>
    </row>
    <row r="28" spans="1:4">
      <c r="A28" s="245" t="s">
        <v>50</v>
      </c>
      <c r="B28" t="s">
        <v>51</v>
      </c>
      <c r="C28" s="247"/>
      <c r="D28" s="195">
        <v>0</v>
      </c>
    </row>
    <row r="29" spans="1:4">
      <c r="A29" s="245" t="s">
        <v>53</v>
      </c>
      <c r="B29" t="s">
        <v>54</v>
      </c>
      <c r="C29" s="247"/>
      <c r="D29" s="195">
        <v>0</v>
      </c>
    </row>
    <row r="30" spans="1:4">
      <c r="A30" s="245" t="s">
        <v>55</v>
      </c>
      <c r="B30" t="s">
        <v>56</v>
      </c>
      <c r="C30" s="247"/>
      <c r="D30" s="195">
        <v>0</v>
      </c>
    </row>
    <row r="31" spans="1:7">
      <c r="A31" s="245" t="s">
        <v>58</v>
      </c>
      <c r="C31" s="245"/>
      <c r="D31" s="251">
        <f>TRUNC(SUM(D25:D30),2)</f>
        <v>1103</v>
      </c>
      <c r="F31" s="244"/>
      <c r="G31" s="244"/>
    </row>
    <row r="33" spans="1:7">
      <c r="A33" s="252" t="s">
        <v>61</v>
      </c>
      <c r="B33" s="252"/>
      <c r="C33" s="252"/>
      <c r="D33" s="252"/>
      <c r="G33" s="250"/>
    </row>
    <row r="35" spans="1:4">
      <c r="A35" s="244" t="s">
        <v>63</v>
      </c>
      <c r="B35" s="244"/>
      <c r="C35" s="244"/>
      <c r="D35" s="244"/>
    </row>
    <row r="36" spans="1:4">
      <c r="A36" s="245" t="s">
        <v>65</v>
      </c>
      <c r="B36" s="249" t="s">
        <v>66</v>
      </c>
      <c r="C36" s="245" t="s">
        <v>38</v>
      </c>
      <c r="D36" s="245" t="s">
        <v>19</v>
      </c>
    </row>
    <row r="37" spans="1:7">
      <c r="A37" s="245" t="s">
        <v>42</v>
      </c>
      <c r="B37" t="s">
        <v>67</v>
      </c>
      <c r="C37" s="253">
        <f>(1/12)</f>
        <v>0.0833333333333333</v>
      </c>
      <c r="D37" s="251">
        <f>TRUNC($D$31*C37,2)</f>
        <v>91.91</v>
      </c>
      <c r="F37" s="254"/>
      <c r="G37" s="254"/>
    </row>
    <row r="38" spans="1:7">
      <c r="A38" s="245" t="s">
        <v>45</v>
      </c>
      <c r="B38" t="s">
        <v>68</v>
      </c>
      <c r="C38" s="253">
        <f>(((1+1/3)/12))</f>
        <v>0.111111111111111</v>
      </c>
      <c r="D38" s="251">
        <f>TRUNC($D$31*C38,2)</f>
        <v>122.55</v>
      </c>
      <c r="F38" s="254"/>
      <c r="G38" s="254"/>
    </row>
    <row r="39" spans="1:7">
      <c r="A39" s="245" t="s">
        <v>58</v>
      </c>
      <c r="D39" s="251">
        <f>TRUNC((SUM(D37:D38)),2)</f>
        <v>214.46</v>
      </c>
      <c r="F39" s="254"/>
      <c r="G39" s="254"/>
    </row>
    <row r="40" ht="15.75" spans="4:7">
      <c r="D40" s="251"/>
      <c r="F40" s="254"/>
      <c r="G40" s="254"/>
    </row>
    <row r="41" ht="16.5" spans="1:7">
      <c r="A41" s="255" t="s">
        <v>201</v>
      </c>
      <c r="B41" s="255"/>
      <c r="C41" s="256" t="s">
        <v>202</v>
      </c>
      <c r="D41" s="257">
        <f>D31</f>
        <v>1103</v>
      </c>
      <c r="F41" s="254"/>
      <c r="G41" s="254"/>
    </row>
    <row r="42" ht="16.5" spans="1:7">
      <c r="A42" s="255"/>
      <c r="B42" s="255"/>
      <c r="C42" s="258" t="s">
        <v>203</v>
      </c>
      <c r="D42" s="257">
        <f>D39</f>
        <v>214.46</v>
      </c>
      <c r="F42" s="254"/>
      <c r="G42" s="254"/>
    </row>
    <row r="43" ht="16.5" spans="1:7">
      <c r="A43" s="255"/>
      <c r="B43" s="255"/>
      <c r="C43" s="256" t="s">
        <v>204</v>
      </c>
      <c r="D43" s="259">
        <f>TRUNC((SUM(D41:D42)),2)</f>
        <v>1317.46</v>
      </c>
      <c r="F43" s="254"/>
      <c r="G43" s="254"/>
    </row>
    <row r="44" ht="15.75" spans="1:7">
      <c r="A44" s="245"/>
      <c r="C44" s="260"/>
      <c r="D44" s="251"/>
      <c r="F44" s="254"/>
      <c r="G44" s="254"/>
    </row>
    <row r="45" spans="1:4">
      <c r="A45" s="244" t="s">
        <v>77</v>
      </c>
      <c r="B45" s="244"/>
      <c r="C45" s="244"/>
      <c r="D45" s="244"/>
    </row>
    <row r="46" spans="1:4">
      <c r="A46" s="245" t="s">
        <v>78</v>
      </c>
      <c r="B46" s="249" t="s">
        <v>79</v>
      </c>
      <c r="C46" s="245" t="s">
        <v>38</v>
      </c>
      <c r="D46" s="245" t="s">
        <v>80</v>
      </c>
    </row>
    <row r="47" spans="1:4">
      <c r="A47" s="245" t="s">
        <v>42</v>
      </c>
      <c r="B47" t="s">
        <v>81</v>
      </c>
      <c r="C47" s="253">
        <v>0.2</v>
      </c>
      <c r="D47" s="251">
        <f t="shared" ref="D47:D54" si="0">TRUNC(($D$43*C47),2)</f>
        <v>263.49</v>
      </c>
    </row>
    <row r="48" spans="1:4">
      <c r="A48" s="245" t="s">
        <v>45</v>
      </c>
      <c r="B48" t="s">
        <v>82</v>
      </c>
      <c r="C48" s="253">
        <v>0.025</v>
      </c>
      <c r="D48" s="251">
        <f t="shared" si="0"/>
        <v>32.93</v>
      </c>
    </row>
    <row r="49" spans="1:4">
      <c r="A49" s="245" t="s">
        <v>48</v>
      </c>
      <c r="B49" t="s">
        <v>205</v>
      </c>
      <c r="C49" s="261">
        <v>0.06</v>
      </c>
      <c r="D49" s="195">
        <f t="shared" si="0"/>
        <v>79.04</v>
      </c>
    </row>
    <row r="50" spans="1:4">
      <c r="A50" s="245" t="s">
        <v>50</v>
      </c>
      <c r="B50" t="s">
        <v>84</v>
      </c>
      <c r="C50" s="253">
        <v>0.015</v>
      </c>
      <c r="D50" s="251">
        <f t="shared" si="0"/>
        <v>19.76</v>
      </c>
    </row>
    <row r="51" spans="1:4">
      <c r="A51" s="245" t="s">
        <v>53</v>
      </c>
      <c r="B51" t="s">
        <v>85</v>
      </c>
      <c r="C51" s="253">
        <v>0.01</v>
      </c>
      <c r="D51" s="251">
        <f t="shared" si="0"/>
        <v>13.17</v>
      </c>
    </row>
    <row r="52" spans="1:4">
      <c r="A52" s="245" t="s">
        <v>55</v>
      </c>
      <c r="B52" t="s">
        <v>86</v>
      </c>
      <c r="C52" s="253">
        <v>0.006</v>
      </c>
      <c r="D52" s="251">
        <f t="shared" si="0"/>
        <v>7.9</v>
      </c>
    </row>
    <row r="53" spans="1:4">
      <c r="A53" s="245" t="s">
        <v>87</v>
      </c>
      <c r="B53" t="s">
        <v>88</v>
      </c>
      <c r="C53" s="253">
        <v>0.002</v>
      </c>
      <c r="D53" s="251">
        <f t="shared" si="0"/>
        <v>2.63</v>
      </c>
    </row>
    <row r="54" spans="1:4">
      <c r="A54" s="245" t="s">
        <v>89</v>
      </c>
      <c r="B54" t="s">
        <v>90</v>
      </c>
      <c r="C54" s="253">
        <v>0.08</v>
      </c>
      <c r="D54" s="251">
        <f t="shared" si="0"/>
        <v>105.39</v>
      </c>
    </row>
    <row r="55" spans="1:4">
      <c r="A55" s="245" t="s">
        <v>58</v>
      </c>
      <c r="C55" s="260">
        <f>SUM(C47:C54)</f>
        <v>0.398</v>
      </c>
      <c r="D55" s="251">
        <f>TRUNC((SUM(D47:D54)),2)</f>
        <v>524.31</v>
      </c>
    </row>
    <row r="56" spans="1:4">
      <c r="A56" s="245"/>
      <c r="C56" s="260"/>
      <c r="D56" s="251"/>
    </row>
    <row r="57" spans="1:4">
      <c r="A57" s="244" t="s">
        <v>95</v>
      </c>
      <c r="B57" s="244"/>
      <c r="C57" s="244"/>
      <c r="D57" s="244"/>
    </row>
    <row r="58" spans="1:4">
      <c r="A58" s="245" t="s">
        <v>96</v>
      </c>
      <c r="B58" s="249" t="s">
        <v>97</v>
      </c>
      <c r="C58" s="245" t="s">
        <v>18</v>
      </c>
      <c r="D58" s="245" t="s">
        <v>19</v>
      </c>
    </row>
    <row r="59" spans="1:4">
      <c r="A59" s="245" t="s">
        <v>42</v>
      </c>
      <c r="B59" t="s">
        <v>98</v>
      </c>
      <c r="C59" s="246"/>
      <c r="D59" s="262">
        <f>TRUNC(((22*4.35)*2)-((D25/100)*6),2)</f>
        <v>125.22</v>
      </c>
    </row>
    <row r="60" spans="1:4">
      <c r="A60" s="245" t="s">
        <v>45</v>
      </c>
      <c r="B60" t="s">
        <v>99</v>
      </c>
      <c r="C60" s="246" t="str">
        <f>C9</f>
        <v>CCT PB000047/2021</v>
      </c>
      <c r="D60" s="195">
        <f>TRUNC((((22*18))-(((22*18))*0.2)),2)</f>
        <v>316.8</v>
      </c>
    </row>
    <row r="61" spans="1:4">
      <c r="A61" s="245" t="s">
        <v>48</v>
      </c>
      <c r="B61" t="s">
        <v>100</v>
      </c>
      <c r="C61" s="246"/>
      <c r="D61" s="195">
        <v>0</v>
      </c>
    </row>
    <row r="62" spans="1:6">
      <c r="A62" s="263" t="s">
        <v>50</v>
      </c>
      <c r="B62" s="264" t="s">
        <v>206</v>
      </c>
      <c r="C62" s="265"/>
      <c r="D62" s="265">
        <v>0</v>
      </c>
      <c r="F62" s="264"/>
    </row>
    <row r="63" spans="1:4">
      <c r="A63" s="245" t="s">
        <v>53</v>
      </c>
      <c r="B63" s="249" t="s">
        <v>207</v>
      </c>
      <c r="C63" s="246" t="str">
        <f>C60</f>
        <v>CCT PB000047/2021</v>
      </c>
      <c r="D63" s="195">
        <v>15</v>
      </c>
    </row>
    <row r="64" spans="1:4">
      <c r="A64" s="245" t="s">
        <v>55</v>
      </c>
      <c r="B64" s="266" t="s">
        <v>208</v>
      </c>
      <c r="C64" s="265" t="str">
        <f>C60</f>
        <v>CCT PB000047/2021</v>
      </c>
      <c r="D64" s="195">
        <v>5</v>
      </c>
    </row>
    <row r="65" spans="1:4">
      <c r="A65" s="245" t="s">
        <v>58</v>
      </c>
      <c r="D65" s="251">
        <f>TRUNC((SUM(D59:D64)),2)</f>
        <v>462.02</v>
      </c>
    </row>
    <row r="66" spans="1:4">
      <c r="A66" s="245"/>
      <c r="D66" s="251"/>
    </row>
    <row r="67" spans="1:4">
      <c r="A67" s="244" t="s">
        <v>105</v>
      </c>
      <c r="B67" s="244"/>
      <c r="C67" s="244"/>
      <c r="D67" s="244"/>
    </row>
    <row r="68" spans="1:4">
      <c r="A68" s="245" t="s">
        <v>106</v>
      </c>
      <c r="B68" s="249" t="s">
        <v>107</v>
      </c>
      <c r="C68" s="245" t="s">
        <v>18</v>
      </c>
      <c r="D68" s="245" t="s">
        <v>19</v>
      </c>
    </row>
    <row r="69" spans="1:4">
      <c r="A69" s="245" t="s">
        <v>65</v>
      </c>
      <c r="B69" t="s">
        <v>66</v>
      </c>
      <c r="C69" s="245"/>
      <c r="D69" s="251">
        <f>D39</f>
        <v>214.46</v>
      </c>
    </row>
    <row r="70" spans="1:4">
      <c r="A70" s="245" t="s">
        <v>78</v>
      </c>
      <c r="B70" t="s">
        <v>79</v>
      </c>
      <c r="C70" s="245"/>
      <c r="D70" s="251">
        <f>D55</f>
        <v>524.31</v>
      </c>
    </row>
    <row r="71" spans="1:4">
      <c r="A71" s="245" t="s">
        <v>96</v>
      </c>
      <c r="B71" t="s">
        <v>97</v>
      </c>
      <c r="C71" s="245"/>
      <c r="D71" s="251">
        <f>D65</f>
        <v>462.02</v>
      </c>
    </row>
    <row r="72" spans="1:4">
      <c r="A72" s="245" t="s">
        <v>58</v>
      </c>
      <c r="C72" s="245"/>
      <c r="D72" s="251">
        <f>TRUNC((SUM(D69:D71)),2)</f>
        <v>1200.79</v>
      </c>
    </row>
    <row r="74" spans="1:4">
      <c r="A74" s="228" t="s">
        <v>108</v>
      </c>
      <c r="B74" s="228"/>
      <c r="C74" s="228"/>
      <c r="D74" s="228"/>
    </row>
    <row r="75" spans="1:4">
      <c r="A75" s="245" t="s">
        <v>109</v>
      </c>
      <c r="B75" s="249" t="s">
        <v>110</v>
      </c>
      <c r="C75" s="245" t="s">
        <v>38</v>
      </c>
      <c r="D75" s="245" t="s">
        <v>19</v>
      </c>
    </row>
    <row r="76" spans="1:4">
      <c r="A76" s="245" t="s">
        <v>42</v>
      </c>
      <c r="B76" t="s">
        <v>111</v>
      </c>
      <c r="C76" s="261">
        <f>((1/12)*5%)</f>
        <v>0.00416666666666667</v>
      </c>
      <c r="D76" s="293">
        <f>TRUNC(($D$31*C76),2)</f>
        <v>4.59</v>
      </c>
    </row>
    <row r="77" spans="1:4">
      <c r="A77" s="245" t="s">
        <v>45</v>
      </c>
      <c r="B77" t="s">
        <v>112</v>
      </c>
      <c r="C77" s="267">
        <v>0.08</v>
      </c>
      <c r="D77" s="289">
        <f>TRUNC(($D$76*C77),2)</f>
        <v>0.36</v>
      </c>
    </row>
    <row r="78" ht="30" spans="1:4">
      <c r="A78" s="245" t="s">
        <v>48</v>
      </c>
      <c r="B78" s="268" t="s">
        <v>113</v>
      </c>
      <c r="C78" s="269">
        <f>(0.08*0.4*0.05)</f>
        <v>0.0016</v>
      </c>
      <c r="D78" s="293">
        <f>TRUNC(($D$31*C78),2)</f>
        <v>1.76</v>
      </c>
    </row>
    <row r="79" spans="1:4">
      <c r="A79" s="245" t="s">
        <v>50</v>
      </c>
      <c r="B79" t="s">
        <v>114</v>
      </c>
      <c r="C79" s="270">
        <f>(((7/30)/12)*0.95)</f>
        <v>0.0184722222222222</v>
      </c>
      <c r="D79" s="294">
        <f>TRUNC(($D$31*C79),2)</f>
        <v>20.37</v>
      </c>
    </row>
    <row r="80" ht="30" spans="1:4">
      <c r="A80" s="245" t="s">
        <v>53</v>
      </c>
      <c r="B80" s="268" t="s">
        <v>209</v>
      </c>
      <c r="C80" s="269">
        <f>C55</f>
        <v>0.398</v>
      </c>
      <c r="D80" s="293">
        <f>TRUNC(($D$79*C80),2)</f>
        <v>8.1</v>
      </c>
    </row>
    <row r="81" ht="30" spans="1:4">
      <c r="A81" s="245" t="s">
        <v>55</v>
      </c>
      <c r="B81" s="268" t="s">
        <v>115</v>
      </c>
      <c r="C81" s="269">
        <f>(0.08*0.4*0.95)</f>
        <v>0.0304</v>
      </c>
      <c r="D81" s="293">
        <f>TRUNC(($D$31*C81),2)</f>
        <v>33.53</v>
      </c>
    </row>
    <row r="82" spans="1:4">
      <c r="A82" s="245" t="s">
        <v>58</v>
      </c>
      <c r="C82" s="267">
        <f>SUM(C76:C81)</f>
        <v>0.532638888888889</v>
      </c>
      <c r="D82" s="251">
        <f>TRUNC((SUM(D76:D81)),2)</f>
        <v>68.71</v>
      </c>
    </row>
    <row r="83" ht="15.75" spans="1:4">
      <c r="A83" s="245"/>
      <c r="D83" s="251"/>
    </row>
    <row r="84" ht="16.5" spans="1:4">
      <c r="A84" s="255" t="s">
        <v>210</v>
      </c>
      <c r="B84" s="255"/>
      <c r="C84" s="256" t="s">
        <v>202</v>
      </c>
      <c r="D84" s="257">
        <f>D31</f>
        <v>1103</v>
      </c>
    </row>
    <row r="85" ht="16.5" spans="1:4">
      <c r="A85" s="255"/>
      <c r="B85" s="255"/>
      <c r="C85" s="258" t="s">
        <v>211</v>
      </c>
      <c r="D85" s="257">
        <f>D72</f>
        <v>1200.79</v>
      </c>
    </row>
    <row r="86" ht="16.5" spans="1:4">
      <c r="A86" s="255"/>
      <c r="B86" s="255"/>
      <c r="C86" s="256" t="s">
        <v>212</v>
      </c>
      <c r="D86" s="257">
        <f>D82</f>
        <v>68.71</v>
      </c>
    </row>
    <row r="87" ht="16.5" spans="1:4">
      <c r="A87" s="255"/>
      <c r="B87" s="255"/>
      <c r="C87" s="258" t="s">
        <v>204</v>
      </c>
      <c r="D87" s="259">
        <f>TRUNC((SUM(D84:D86)),2)</f>
        <v>2372.5</v>
      </c>
    </row>
    <row r="88" ht="15.75" spans="1:4">
      <c r="A88" s="245"/>
      <c r="D88" s="251"/>
    </row>
    <row r="89" spans="1:4">
      <c r="A89" s="272" t="s">
        <v>127</v>
      </c>
      <c r="B89" s="272"/>
      <c r="C89" s="272"/>
      <c r="D89" s="272"/>
    </row>
    <row r="90" spans="1:4">
      <c r="A90" s="244" t="s">
        <v>128</v>
      </c>
      <c r="B90" s="244"/>
      <c r="C90" s="244"/>
      <c r="D90" s="244"/>
    </row>
    <row r="91" spans="1:4">
      <c r="A91" s="245" t="s">
        <v>129</v>
      </c>
      <c r="B91" s="249" t="s">
        <v>130</v>
      </c>
      <c r="C91" s="245" t="s">
        <v>38</v>
      </c>
      <c r="D91" s="245" t="s">
        <v>19</v>
      </c>
    </row>
    <row r="92" spans="1:4">
      <c r="A92" s="245" t="s">
        <v>42</v>
      </c>
      <c r="B92" t="s">
        <v>213</v>
      </c>
      <c r="C92" s="267">
        <f>(((1+1/3)/12)/12)+((1/12)/12)</f>
        <v>0.0162037037037037</v>
      </c>
      <c r="D92" s="251">
        <f>TRUNC(($D$87*C92),2)</f>
        <v>38.44</v>
      </c>
    </row>
    <row r="93" spans="1:4">
      <c r="A93" s="245" t="s">
        <v>45</v>
      </c>
      <c r="B93" t="s">
        <v>133</v>
      </c>
      <c r="C93" s="261">
        <f>((2/30)/12)</f>
        <v>0.00555555555555556</v>
      </c>
      <c r="D93" s="265">
        <f t="shared" ref="D92:D96" si="1">TRUNC(($D$87*C93),2)</f>
        <v>13.18</v>
      </c>
    </row>
    <row r="94" spans="1:4">
      <c r="A94" s="245" t="s">
        <v>48</v>
      </c>
      <c r="B94" t="s">
        <v>134</v>
      </c>
      <c r="C94" s="261">
        <f>((5/30)/12)*0.02</f>
        <v>0.000277777777777778</v>
      </c>
      <c r="D94" s="265">
        <f t="shared" si="1"/>
        <v>0.65</v>
      </c>
    </row>
    <row r="95" ht="30" spans="1:4">
      <c r="A95" s="263" t="s">
        <v>50</v>
      </c>
      <c r="B95" s="268" t="s">
        <v>135</v>
      </c>
      <c r="C95" s="269">
        <f>((15/30)/12)*0.08</f>
        <v>0.00333333333333333</v>
      </c>
      <c r="D95" s="265">
        <f t="shared" si="1"/>
        <v>7.9</v>
      </c>
    </row>
    <row r="96" spans="1:4">
      <c r="A96" s="245" t="s">
        <v>53</v>
      </c>
      <c r="B96" t="s">
        <v>136</v>
      </c>
      <c r="C96" s="261">
        <f>((1+1/3)/12)*0.03*((4/12))</f>
        <v>0.00111111111111111</v>
      </c>
      <c r="D96" s="265">
        <f t="shared" si="1"/>
        <v>2.63</v>
      </c>
    </row>
    <row r="97" ht="30" spans="1:4">
      <c r="A97" s="245" t="s">
        <v>55</v>
      </c>
      <c r="B97" s="268" t="s">
        <v>214</v>
      </c>
      <c r="C97" s="273">
        <v>0</v>
      </c>
      <c r="D97" s="265">
        <f>TRUNC($D$87*C97)</f>
        <v>0</v>
      </c>
    </row>
    <row r="98" spans="1:4">
      <c r="A98" s="245" t="s">
        <v>58</v>
      </c>
      <c r="C98" s="267">
        <f>SUM(C92:C97)</f>
        <v>0.0264814814814815</v>
      </c>
      <c r="D98" s="251">
        <f>TRUNC((SUM(D92:D97)),2)</f>
        <v>62.8</v>
      </c>
    </row>
    <row r="99" spans="1:4">
      <c r="A99" s="245"/>
      <c r="C99" s="245"/>
      <c r="D99" s="251"/>
    </row>
    <row r="100" spans="1:4">
      <c r="A100" s="244" t="s">
        <v>144</v>
      </c>
      <c r="B100" s="244"/>
      <c r="C100" s="244"/>
      <c r="D100" s="244"/>
    </row>
    <row r="101" spans="1:4">
      <c r="A101" s="245" t="s">
        <v>145</v>
      </c>
      <c r="B101" s="249" t="s">
        <v>146</v>
      </c>
      <c r="C101" s="245" t="s">
        <v>18</v>
      </c>
      <c r="D101" s="245" t="s">
        <v>19</v>
      </c>
    </row>
    <row r="102" ht="90" spans="1:4">
      <c r="A102" s="263" t="s">
        <v>42</v>
      </c>
      <c r="B102" s="274" t="s">
        <v>147</v>
      </c>
      <c r="C102" s="205" t="s">
        <v>215</v>
      </c>
      <c r="D102" s="295" t="s">
        <v>216</v>
      </c>
    </row>
    <row r="103" ht="30" spans="1:4">
      <c r="A103" s="245" t="s">
        <v>58</v>
      </c>
      <c r="C103" s="275"/>
      <c r="D103" s="296" t="str">
        <f>D102</f>
        <v>*=TRUNCAR(($D$86/220)*(1*(365/12))/2)</v>
      </c>
    </row>
    <row r="105" spans="1:4">
      <c r="A105" s="244" t="s">
        <v>148</v>
      </c>
      <c r="B105" s="244"/>
      <c r="C105" s="244"/>
      <c r="D105" s="244"/>
    </row>
    <row r="106" spans="1:4">
      <c r="A106" s="245" t="s">
        <v>149</v>
      </c>
      <c r="B106" s="249" t="s">
        <v>150</v>
      </c>
      <c r="C106" s="245" t="s">
        <v>18</v>
      </c>
      <c r="D106" s="245" t="s">
        <v>19</v>
      </c>
    </row>
    <row r="107" spans="1:4">
      <c r="A107" s="245" t="s">
        <v>129</v>
      </c>
      <c r="B107" t="s">
        <v>130</v>
      </c>
      <c r="D107" s="195">
        <f>D98</f>
        <v>62.8</v>
      </c>
    </row>
    <row r="108" spans="1:4">
      <c r="A108" s="245" t="s">
        <v>145</v>
      </c>
      <c r="B108" t="s">
        <v>151</v>
      </c>
      <c r="C108" s="249"/>
      <c r="D108" s="276" t="str">
        <f>Submódulo4.260_42[[#Totals],[Valor]]</f>
        <v>*=TRUNCAR(($D$86/220)*(1*(365/12))/2)</v>
      </c>
    </row>
    <row r="109" ht="60" spans="1:4">
      <c r="A109" s="263" t="s">
        <v>58</v>
      </c>
      <c r="B109" s="264"/>
      <c r="C109" s="205" t="s">
        <v>217</v>
      </c>
      <c r="D109" s="277">
        <f>TRUNC((SUM(D107:D108)),2)</f>
        <v>62.8</v>
      </c>
    </row>
    <row r="111" spans="1:4">
      <c r="A111" s="228" t="s">
        <v>152</v>
      </c>
      <c r="B111" s="228"/>
      <c r="C111" s="228"/>
      <c r="D111" s="228"/>
    </row>
    <row r="112" spans="1:4">
      <c r="A112" s="245" t="s">
        <v>153</v>
      </c>
      <c r="B112" s="249" t="s">
        <v>154</v>
      </c>
      <c r="C112" s="245" t="s">
        <v>18</v>
      </c>
      <c r="D112" s="245" t="s">
        <v>19</v>
      </c>
    </row>
    <row r="113" spans="1:4">
      <c r="A113" s="245" t="s">
        <v>42</v>
      </c>
      <c r="B113" t="s">
        <v>218</v>
      </c>
      <c r="D113" s="178">
        <f>Uniformes!G23</f>
        <v>92.4</v>
      </c>
    </row>
    <row r="114" spans="1:4">
      <c r="A114" s="245" t="s">
        <v>45</v>
      </c>
      <c r="B114" t="s">
        <v>219</v>
      </c>
      <c r="D114" s="195">
        <f>EPC!E21</f>
        <v>8.44</v>
      </c>
    </row>
    <row r="115" spans="1:4">
      <c r="A115" s="245" t="s">
        <v>48</v>
      </c>
      <c r="B115" t="s">
        <v>156</v>
      </c>
      <c r="D115" s="195">
        <v>0</v>
      </c>
    </row>
    <row r="116" spans="1:4">
      <c r="A116" s="245" t="s">
        <v>50</v>
      </c>
      <c r="B116" t="s">
        <v>157</v>
      </c>
      <c r="D116" s="195">
        <v>0</v>
      </c>
    </row>
    <row r="117" spans="1:4">
      <c r="A117" s="245" t="s">
        <v>53</v>
      </c>
      <c r="B117" t="s">
        <v>220</v>
      </c>
      <c r="D117" s="195">
        <f>H116</f>
        <v>0</v>
      </c>
    </row>
    <row r="118" spans="1:4">
      <c r="A118" s="245" t="s">
        <v>58</v>
      </c>
      <c r="D118" s="251">
        <f>TRUNC((SUM(D113:D117)),2)</f>
        <v>100.84</v>
      </c>
    </row>
    <row r="119" ht="15.75"/>
    <row r="120" ht="16.5" spans="1:4">
      <c r="A120" s="255" t="s">
        <v>221</v>
      </c>
      <c r="B120" s="255"/>
      <c r="C120" s="256" t="s">
        <v>202</v>
      </c>
      <c r="D120" s="257">
        <f>D31</f>
        <v>1103</v>
      </c>
    </row>
    <row r="121" ht="16.5" spans="1:4">
      <c r="A121" s="255"/>
      <c r="B121" s="255"/>
      <c r="C121" s="258" t="s">
        <v>211</v>
      </c>
      <c r="D121" s="257">
        <f>D72</f>
        <v>1200.79</v>
      </c>
    </row>
    <row r="122" ht="16.5" spans="1:4">
      <c r="A122" s="255"/>
      <c r="B122" s="255"/>
      <c r="C122" s="256" t="s">
        <v>212</v>
      </c>
      <c r="D122" s="257">
        <f>D82</f>
        <v>68.71</v>
      </c>
    </row>
    <row r="123" ht="16.5" spans="1:4">
      <c r="A123" s="255"/>
      <c r="B123" s="255"/>
      <c r="C123" s="258" t="s">
        <v>222</v>
      </c>
      <c r="D123" s="257">
        <f>D109</f>
        <v>62.8</v>
      </c>
    </row>
    <row r="124" ht="16.5" spans="1:4">
      <c r="A124" s="255"/>
      <c r="B124" s="255"/>
      <c r="C124" s="256" t="s">
        <v>223</v>
      </c>
      <c r="D124" s="257">
        <f>D118</f>
        <v>100.84</v>
      </c>
    </row>
    <row r="125" ht="16.5" spans="1:4">
      <c r="A125" s="255"/>
      <c r="B125" s="255"/>
      <c r="C125" s="258" t="s">
        <v>204</v>
      </c>
      <c r="D125" s="259">
        <f>TRUNC((SUM(D120:D124)),2)</f>
        <v>2536.14</v>
      </c>
    </row>
    <row r="126" ht="15.75"/>
    <row r="127" spans="1:4">
      <c r="A127" s="228" t="s">
        <v>164</v>
      </c>
      <c r="B127" s="228"/>
      <c r="C127" s="228"/>
      <c r="D127" s="228"/>
    </row>
    <row r="128" ht="15.75" spans="1:7">
      <c r="A128" s="245" t="s">
        <v>165</v>
      </c>
      <c r="B128" t="s">
        <v>166</v>
      </c>
      <c r="C128" s="245" t="s">
        <v>38</v>
      </c>
      <c r="D128" s="245" t="s">
        <v>19</v>
      </c>
      <c r="F128" s="278" t="s">
        <v>224</v>
      </c>
      <c r="G128" s="278"/>
    </row>
    <row r="129" ht="15.75" spans="1:7">
      <c r="A129" s="245" t="s">
        <v>42</v>
      </c>
      <c r="B129" t="s">
        <v>167</v>
      </c>
      <c r="C129" s="191">
        <v>0.044</v>
      </c>
      <c r="D129" s="178">
        <f>TRUNC(($D$125*C129),2)</f>
        <v>111.59</v>
      </c>
      <c r="F129" s="279" t="s">
        <v>225</v>
      </c>
      <c r="G129" s="269">
        <f>C131</f>
        <v>0.0865</v>
      </c>
    </row>
    <row r="130" ht="15.75" spans="1:7">
      <c r="A130" s="245" t="s">
        <v>45</v>
      </c>
      <c r="B130" t="s">
        <v>59</v>
      </c>
      <c r="C130" s="191">
        <v>0.0413</v>
      </c>
      <c r="D130" s="178">
        <f>TRUNC((C130*(D125+D129)),2)</f>
        <v>109.35</v>
      </c>
      <c r="F130" s="280" t="s">
        <v>226</v>
      </c>
      <c r="G130" s="297">
        <f>TRUNC(SUM(D125,D129,D130),2)</f>
        <v>2757.08</v>
      </c>
    </row>
    <row r="131" ht="15.75" spans="1:7">
      <c r="A131" s="245" t="s">
        <v>48</v>
      </c>
      <c r="B131" t="s">
        <v>168</v>
      </c>
      <c r="C131" s="261">
        <f>SUM(C132:C134)</f>
        <v>0.0865</v>
      </c>
      <c r="D131" s="195">
        <f>TRUNC((SUM(D132:D134)),2)</f>
        <v>261.05</v>
      </c>
      <c r="F131" s="279" t="s">
        <v>227</v>
      </c>
      <c r="G131" s="282">
        <f>(100-8.65)/100</f>
        <v>0.9135</v>
      </c>
    </row>
    <row r="132" ht="15.75" spans="1:7">
      <c r="A132" s="245"/>
      <c r="B132" t="s">
        <v>228</v>
      </c>
      <c r="C132" s="261">
        <v>0.0065</v>
      </c>
      <c r="D132" s="195">
        <f t="shared" ref="D132:D134" si="2">TRUNC(($G$132*C132),2)</f>
        <v>19.61</v>
      </c>
      <c r="F132" s="280" t="s">
        <v>224</v>
      </c>
      <c r="G132" s="297">
        <f>TRUNC((G130/G131),2)</f>
        <v>3018.14</v>
      </c>
    </row>
    <row r="133" ht="15.75" spans="1:4">
      <c r="A133" s="245"/>
      <c r="B133" t="s">
        <v>229</v>
      </c>
      <c r="C133" s="261">
        <v>0.03</v>
      </c>
      <c r="D133" s="195">
        <f t="shared" si="2"/>
        <v>90.54</v>
      </c>
    </row>
    <row r="134" spans="1:4">
      <c r="A134" s="245"/>
      <c r="B134" t="s">
        <v>230</v>
      </c>
      <c r="C134" s="261">
        <v>0.05</v>
      </c>
      <c r="D134" s="195">
        <f t="shared" si="2"/>
        <v>150.9</v>
      </c>
    </row>
    <row r="135" spans="1:4">
      <c r="A135" s="245" t="s">
        <v>58</v>
      </c>
      <c r="C135" s="283"/>
      <c r="D135" s="251">
        <f>TRUNC(SUM(D129:D131),2)</f>
        <v>481.99</v>
      </c>
    </row>
    <row r="136" spans="1:4">
      <c r="A136" s="245"/>
      <c r="C136" s="283"/>
      <c r="D136" s="251"/>
    </row>
    <row r="138" spans="1:4">
      <c r="A138" s="228" t="s">
        <v>172</v>
      </c>
      <c r="B138" s="228"/>
      <c r="C138" s="228"/>
      <c r="D138" s="228"/>
    </row>
    <row r="139" spans="1:4">
      <c r="A139" s="245" t="s">
        <v>16</v>
      </c>
      <c r="B139" s="245" t="s">
        <v>173</v>
      </c>
      <c r="C139" s="245" t="s">
        <v>102</v>
      </c>
      <c r="D139" s="245" t="s">
        <v>19</v>
      </c>
    </row>
    <row r="140" spans="1:4">
      <c r="A140" s="245" t="s">
        <v>42</v>
      </c>
      <c r="B140" t="s">
        <v>36</v>
      </c>
      <c r="D140" s="251">
        <f>D31</f>
        <v>1103</v>
      </c>
    </row>
    <row r="141" spans="1:4">
      <c r="A141" s="245" t="s">
        <v>45</v>
      </c>
      <c r="B141" t="s">
        <v>61</v>
      </c>
      <c r="D141" s="251">
        <f>D72</f>
        <v>1200.79</v>
      </c>
    </row>
    <row r="142" spans="1:4">
      <c r="A142" s="245" t="s">
        <v>48</v>
      </c>
      <c r="B142" t="s">
        <v>108</v>
      </c>
      <c r="D142" s="251">
        <f>D82</f>
        <v>68.71</v>
      </c>
    </row>
    <row r="143" spans="1:4">
      <c r="A143" s="245" t="s">
        <v>50</v>
      </c>
      <c r="B143" t="s">
        <v>174</v>
      </c>
      <c r="D143" s="251">
        <f>D109</f>
        <v>62.8</v>
      </c>
    </row>
    <row r="144" spans="1:4">
      <c r="A144" s="245" t="s">
        <v>53</v>
      </c>
      <c r="B144" t="s">
        <v>152</v>
      </c>
      <c r="D144" s="251">
        <f>D118</f>
        <v>100.84</v>
      </c>
    </row>
    <row r="145" spans="2:4">
      <c r="B145" s="284" t="s">
        <v>175</v>
      </c>
      <c r="D145" s="251">
        <f>SUM(D140:D144)</f>
        <v>2536.14</v>
      </c>
    </row>
    <row r="146" spans="1:4">
      <c r="A146" s="245" t="s">
        <v>55</v>
      </c>
      <c r="B146" t="s">
        <v>164</v>
      </c>
      <c r="D146" s="251">
        <f>D135</f>
        <v>481.99</v>
      </c>
    </row>
    <row r="147" spans="1:4">
      <c r="A147" s="285"/>
      <c r="B147" s="286" t="s">
        <v>231</v>
      </c>
      <c r="C147" s="285"/>
      <c r="D147" s="287">
        <f>TRUNC((SUM(D140:D144)+D146),2)</f>
        <v>3018.13</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8"/>
  <sheetViews>
    <sheetView topLeftCell="A137" workbookViewId="0">
      <selection activeCell="C159" sqref="C159"/>
    </sheetView>
  </sheetViews>
  <sheetFormatPr defaultColWidth="9.14285714285714" defaultRowHeight="15" outlineLevelCol="6"/>
  <cols>
    <col min="1" max="1" width="10.6666666666667" customWidth="1"/>
    <col min="2" max="2" width="45.7809523809524" customWidth="1"/>
    <col min="3" max="3" width="24.3333333333333" customWidth="1"/>
    <col min="4" max="4" width="30.552380952381" customWidth="1"/>
    <col min="6" max="6" width="22.8571428571429" customWidth="1"/>
    <col min="7" max="7" width="13.4285714285714" customWidth="1"/>
    <col min="8" max="8" width="11" customWidth="1"/>
    <col min="9" max="9" width="11.4285714285714" customWidth="1"/>
  </cols>
  <sheetData>
    <row r="2" ht="19.5" spans="1:4">
      <c r="A2" s="221" t="s">
        <v>177</v>
      </c>
      <c r="B2" s="221"/>
      <c r="C2" s="221"/>
      <c r="D2" s="221"/>
    </row>
    <row r="3" ht="15.75" spans="1:4">
      <c r="A3" s="222" t="s">
        <v>178</v>
      </c>
      <c r="B3" s="222"/>
      <c r="C3" s="222"/>
      <c r="D3" s="222"/>
    </row>
    <row r="4" spans="1:4">
      <c r="A4" s="223" t="s">
        <v>179</v>
      </c>
      <c r="B4" s="224" t="s">
        <v>180</v>
      </c>
      <c r="C4" s="225"/>
      <c r="D4" s="225"/>
    </row>
    <row r="5" spans="1:4">
      <c r="A5" s="226"/>
      <c r="B5" s="227"/>
      <c r="C5" s="227"/>
      <c r="D5" s="227"/>
    </row>
    <row r="6" ht="15.75" spans="1:4">
      <c r="A6" s="228" t="s">
        <v>181</v>
      </c>
      <c r="B6" s="228"/>
      <c r="C6" s="228"/>
      <c r="D6" s="228"/>
    </row>
    <row r="7" ht="15.75" spans="1:4">
      <c r="A7" s="229" t="s">
        <v>42</v>
      </c>
      <c r="B7" s="230" t="s">
        <v>182</v>
      </c>
      <c r="C7" s="231" t="s">
        <v>183</v>
      </c>
      <c r="D7" s="231"/>
    </row>
    <row r="8" spans="1:4">
      <c r="A8" s="232" t="s">
        <v>45</v>
      </c>
      <c r="B8" s="233" t="s">
        <v>184</v>
      </c>
      <c r="C8" s="234" t="s">
        <v>185</v>
      </c>
      <c r="D8" s="234"/>
    </row>
    <row r="9" spans="1:4">
      <c r="A9" s="235" t="s">
        <v>48</v>
      </c>
      <c r="B9" s="236" t="s">
        <v>186</v>
      </c>
      <c r="C9" s="234" t="s">
        <v>187</v>
      </c>
      <c r="D9" s="234"/>
    </row>
    <row r="10" spans="1:4">
      <c r="A10" s="232" t="s">
        <v>53</v>
      </c>
      <c r="B10" s="233" t="s">
        <v>188</v>
      </c>
      <c r="C10" s="234" t="s">
        <v>189</v>
      </c>
      <c r="D10" s="234"/>
    </row>
    <row r="11" ht="15.75" spans="1:4">
      <c r="A11" s="237" t="s">
        <v>190</v>
      </c>
      <c r="B11" s="237"/>
      <c r="C11" s="237"/>
      <c r="D11" s="237"/>
    </row>
    <row r="12" ht="16.5" spans="1:4">
      <c r="A12" s="238" t="s">
        <v>191</v>
      </c>
      <c r="B12" s="238"/>
      <c r="C12" s="237" t="s">
        <v>192</v>
      </c>
      <c r="D12" s="239" t="s">
        <v>193</v>
      </c>
    </row>
    <row r="13" ht="15.75" spans="1:4">
      <c r="A13" s="240" t="s">
        <v>235</v>
      </c>
      <c r="B13" s="240"/>
      <c r="C13" s="234" t="s">
        <v>236</v>
      </c>
      <c r="D13" s="241">
        <f>RESUMO!D5</f>
        <v>2</v>
      </c>
    </row>
    <row r="14" spans="1:4">
      <c r="A14" s="242"/>
      <c r="B14" s="242"/>
      <c r="C14" s="234"/>
      <c r="D14" s="243"/>
    </row>
    <row r="15" ht="15.75" spans="1:7">
      <c r="A15" s="237" t="s">
        <v>14</v>
      </c>
      <c r="B15" s="237"/>
      <c r="C15" s="237"/>
      <c r="D15" s="237"/>
      <c r="F15" s="244"/>
      <c r="G15" s="244"/>
    </row>
    <row r="16" ht="15.75" spans="1:4">
      <c r="A16" s="245" t="s">
        <v>16</v>
      </c>
      <c r="B16" t="s">
        <v>17</v>
      </c>
      <c r="C16" s="245" t="s">
        <v>18</v>
      </c>
      <c r="D16" s="245" t="s">
        <v>19</v>
      </c>
    </row>
    <row r="17" spans="1:6">
      <c r="A17" s="245">
        <v>1</v>
      </c>
      <c r="B17" t="s">
        <v>20</v>
      </c>
      <c r="C17" s="246" t="s">
        <v>102</v>
      </c>
      <c r="D17" s="246" t="str">
        <f>A13</f>
        <v>Agente de Portaria</v>
      </c>
      <c r="F17" s="288"/>
    </row>
    <row r="18" spans="1:4">
      <c r="A18" s="245">
        <v>2</v>
      </c>
      <c r="B18" t="s">
        <v>23</v>
      </c>
      <c r="C18" s="246" t="s">
        <v>196</v>
      </c>
      <c r="D18" s="246" t="s">
        <v>237</v>
      </c>
    </row>
    <row r="19" spans="1:4">
      <c r="A19" s="245">
        <v>3</v>
      </c>
      <c r="B19" t="s">
        <v>26</v>
      </c>
      <c r="C19" s="246" t="str">
        <f>C9</f>
        <v>CCT PB000047/2021</v>
      </c>
      <c r="D19" s="195">
        <v>1124</v>
      </c>
    </row>
    <row r="20" spans="1:4">
      <c r="A20" s="245">
        <v>4</v>
      </c>
      <c r="B20" t="s">
        <v>29</v>
      </c>
      <c r="C20" s="246" t="str">
        <f>C9</f>
        <v>CCT PB000047/2021</v>
      </c>
      <c r="D20" s="247" t="s">
        <v>198</v>
      </c>
    </row>
    <row r="21" spans="1:4">
      <c r="A21" s="245">
        <v>5</v>
      </c>
      <c r="B21" t="s">
        <v>33</v>
      </c>
      <c r="C21" s="246" t="str">
        <f>C9</f>
        <v>CCT PB000047/2021</v>
      </c>
      <c r="D21" s="248" t="s">
        <v>199</v>
      </c>
    </row>
    <row r="22" spans="6:7">
      <c r="F22" s="244"/>
      <c r="G22" s="244"/>
    </row>
    <row r="23" spans="1:4">
      <c r="A23" s="228" t="s">
        <v>36</v>
      </c>
      <c r="B23" s="228"/>
      <c r="C23" s="228"/>
      <c r="D23" s="228"/>
    </row>
    <row r="24" spans="1:7">
      <c r="A24" s="245" t="s">
        <v>39</v>
      </c>
      <c r="B24" s="249" t="s">
        <v>40</v>
      </c>
      <c r="C24" s="245" t="s">
        <v>18</v>
      </c>
      <c r="D24" s="245" t="s">
        <v>19</v>
      </c>
      <c r="G24" s="250"/>
    </row>
    <row r="25" spans="1:7">
      <c r="A25" s="245" t="s">
        <v>42</v>
      </c>
      <c r="B25" t="s">
        <v>43</v>
      </c>
      <c r="C25" s="247" t="s">
        <v>238</v>
      </c>
      <c r="D25" s="195">
        <f>D19</f>
        <v>1124</v>
      </c>
      <c r="G25" s="250"/>
    </row>
    <row r="26" spans="1:7">
      <c r="A26" s="245" t="s">
        <v>45</v>
      </c>
      <c r="B26" t="s">
        <v>46</v>
      </c>
      <c r="C26" s="247"/>
      <c r="D26" s="195">
        <v>0</v>
      </c>
      <c r="G26" s="250"/>
    </row>
    <row r="27" spans="1:4">
      <c r="A27" s="245" t="s">
        <v>48</v>
      </c>
      <c r="B27" t="s">
        <v>49</v>
      </c>
      <c r="C27" s="247"/>
      <c r="D27" s="195">
        <v>0</v>
      </c>
    </row>
    <row r="28" spans="1:4">
      <c r="A28" s="245" t="s">
        <v>50</v>
      </c>
      <c r="B28" t="s">
        <v>51</v>
      </c>
      <c r="C28" s="247"/>
      <c r="D28" s="195">
        <v>0</v>
      </c>
    </row>
    <row r="29" spans="1:4">
      <c r="A29" s="245" t="s">
        <v>53</v>
      </c>
      <c r="B29" t="s">
        <v>54</v>
      </c>
      <c r="C29" s="247"/>
      <c r="D29" s="195">
        <v>0</v>
      </c>
    </row>
    <row r="30" spans="1:4">
      <c r="A30" s="245" t="s">
        <v>55</v>
      </c>
      <c r="B30" t="s">
        <v>56</v>
      </c>
      <c r="C30" s="247"/>
      <c r="D30" s="195">
        <v>0</v>
      </c>
    </row>
    <row r="31" spans="1:7">
      <c r="A31" s="245" t="s">
        <v>58</v>
      </c>
      <c r="C31" s="245"/>
      <c r="D31" s="251">
        <f>TRUNC((SUM(D25:D30)),2)</f>
        <v>1124</v>
      </c>
      <c r="F31" s="244"/>
      <c r="G31" s="244"/>
    </row>
    <row r="33" spans="1:7">
      <c r="A33" s="252" t="s">
        <v>61</v>
      </c>
      <c r="B33" s="252"/>
      <c r="C33" s="252"/>
      <c r="D33" s="252"/>
      <c r="G33" s="250"/>
    </row>
    <row r="35" spans="1:4">
      <c r="A35" s="244" t="s">
        <v>63</v>
      </c>
      <c r="B35" s="244"/>
      <c r="C35" s="244"/>
      <c r="D35" s="244"/>
    </row>
    <row r="36" spans="1:4">
      <c r="A36" s="245" t="s">
        <v>65</v>
      </c>
      <c r="B36" s="249" t="s">
        <v>66</v>
      </c>
      <c r="C36" s="245" t="s">
        <v>38</v>
      </c>
      <c r="D36" s="245" t="s">
        <v>19</v>
      </c>
    </row>
    <row r="37" spans="1:7">
      <c r="A37" s="245" t="s">
        <v>42</v>
      </c>
      <c r="B37" t="s">
        <v>67</v>
      </c>
      <c r="C37" s="253">
        <f>(1/12)</f>
        <v>0.0833333333333333</v>
      </c>
      <c r="D37" s="251">
        <f>TRUNC($D$31*C37,2)</f>
        <v>93.66</v>
      </c>
      <c r="F37" s="254"/>
      <c r="G37" s="254"/>
    </row>
    <row r="38" spans="1:7">
      <c r="A38" s="245" t="s">
        <v>45</v>
      </c>
      <c r="B38" t="s">
        <v>68</v>
      </c>
      <c r="C38" s="253">
        <f>(((1+1/3)/12))</f>
        <v>0.111111111111111</v>
      </c>
      <c r="D38" s="251">
        <f>TRUNC($D$31*C38,2)</f>
        <v>124.88</v>
      </c>
      <c r="F38" s="254"/>
      <c r="G38" s="254"/>
    </row>
    <row r="39" spans="1:7">
      <c r="A39" s="245" t="s">
        <v>58</v>
      </c>
      <c r="D39" s="251">
        <f>TRUNC((SUM(D37:D38)),2)</f>
        <v>218.54</v>
      </c>
      <c r="F39" s="254"/>
      <c r="G39" s="254"/>
    </row>
    <row r="40" ht="15.75" spans="4:7">
      <c r="D40" s="251"/>
      <c r="F40" s="254"/>
      <c r="G40" s="254"/>
    </row>
    <row r="41" ht="16.5" spans="1:7">
      <c r="A41" s="255" t="s">
        <v>201</v>
      </c>
      <c r="B41" s="255"/>
      <c r="C41" s="256" t="s">
        <v>202</v>
      </c>
      <c r="D41" s="257">
        <f>D31</f>
        <v>1124</v>
      </c>
      <c r="F41" s="254"/>
      <c r="G41" s="254"/>
    </row>
    <row r="42" ht="16.5" spans="1:7">
      <c r="A42" s="255"/>
      <c r="B42" s="255"/>
      <c r="C42" s="258" t="s">
        <v>203</v>
      </c>
      <c r="D42" s="257">
        <f>D39</f>
        <v>218.54</v>
      </c>
      <c r="F42" s="254"/>
      <c r="G42" s="254"/>
    </row>
    <row r="43" ht="16.5" spans="1:7">
      <c r="A43" s="255"/>
      <c r="B43" s="255"/>
      <c r="C43" s="256" t="s">
        <v>204</v>
      </c>
      <c r="D43" s="259">
        <f>TRUNC(SUM(D41:D42),2)</f>
        <v>1342.54</v>
      </c>
      <c r="F43" s="254"/>
      <c r="G43" s="254"/>
    </row>
    <row r="44" ht="15.75" spans="1:7">
      <c r="A44" s="245"/>
      <c r="C44" s="260"/>
      <c r="D44" s="251"/>
      <c r="F44" s="254"/>
      <c r="G44" s="254"/>
    </row>
    <row r="45" spans="1:4">
      <c r="A45" s="244" t="s">
        <v>77</v>
      </c>
      <c r="B45" s="244"/>
      <c r="C45" s="244"/>
      <c r="D45" s="244"/>
    </row>
    <row r="46" spans="1:4">
      <c r="A46" s="245" t="s">
        <v>78</v>
      </c>
      <c r="B46" s="249" t="s">
        <v>79</v>
      </c>
      <c r="C46" s="245" t="s">
        <v>38</v>
      </c>
      <c r="D46" s="245" t="s">
        <v>80</v>
      </c>
    </row>
    <row r="47" spans="1:4">
      <c r="A47" s="245" t="s">
        <v>42</v>
      </c>
      <c r="B47" t="s">
        <v>81</v>
      </c>
      <c r="C47" s="253">
        <v>0.2</v>
      </c>
      <c r="D47" s="289">
        <f t="shared" ref="D47:D54" si="0">TRUNC(($D$43*C47),2)</f>
        <v>268.5</v>
      </c>
    </row>
    <row r="48" spans="1:4">
      <c r="A48" s="245" t="s">
        <v>45</v>
      </c>
      <c r="B48" t="s">
        <v>82</v>
      </c>
      <c r="C48" s="253">
        <v>0.025</v>
      </c>
      <c r="D48" s="289">
        <f t="shared" si="0"/>
        <v>33.56</v>
      </c>
    </row>
    <row r="49" spans="1:4">
      <c r="A49" s="245" t="s">
        <v>48</v>
      </c>
      <c r="B49" t="s">
        <v>205</v>
      </c>
      <c r="C49" s="261">
        <v>0.06</v>
      </c>
      <c r="D49" s="289">
        <f t="shared" si="0"/>
        <v>80.55</v>
      </c>
    </row>
    <row r="50" spans="1:4">
      <c r="A50" s="245" t="s">
        <v>50</v>
      </c>
      <c r="B50" t="s">
        <v>84</v>
      </c>
      <c r="C50" s="253">
        <v>0.015</v>
      </c>
      <c r="D50" s="289">
        <f t="shared" si="0"/>
        <v>20.13</v>
      </c>
    </row>
    <row r="51" spans="1:4">
      <c r="A51" s="245" t="s">
        <v>53</v>
      </c>
      <c r="B51" t="s">
        <v>85</v>
      </c>
      <c r="C51" s="253">
        <v>0.01</v>
      </c>
      <c r="D51" s="289">
        <f t="shared" si="0"/>
        <v>13.42</v>
      </c>
    </row>
    <row r="52" spans="1:4">
      <c r="A52" s="245" t="s">
        <v>55</v>
      </c>
      <c r="B52" t="s">
        <v>86</v>
      </c>
      <c r="C52" s="253">
        <v>0.006</v>
      </c>
      <c r="D52" s="289">
        <f t="shared" si="0"/>
        <v>8.05</v>
      </c>
    </row>
    <row r="53" spans="1:4">
      <c r="A53" s="245" t="s">
        <v>87</v>
      </c>
      <c r="B53" t="s">
        <v>88</v>
      </c>
      <c r="C53" s="253">
        <v>0.002</v>
      </c>
      <c r="D53" s="289">
        <f t="shared" si="0"/>
        <v>2.68</v>
      </c>
    </row>
    <row r="54" spans="1:4">
      <c r="A54" s="245" t="s">
        <v>89</v>
      </c>
      <c r="B54" t="s">
        <v>90</v>
      </c>
      <c r="C54" s="253">
        <v>0.08</v>
      </c>
      <c r="D54" s="289">
        <f t="shared" si="0"/>
        <v>107.4</v>
      </c>
    </row>
    <row r="55" spans="1:4">
      <c r="A55" s="245" t="s">
        <v>58</v>
      </c>
      <c r="C55" s="260">
        <f>SUM(C47:C54)</f>
        <v>0.398</v>
      </c>
      <c r="D55" s="251">
        <f>TRUNC((SUM(D47:D54)),2)</f>
        <v>534.29</v>
      </c>
    </row>
    <row r="56" spans="1:4">
      <c r="A56" s="245"/>
      <c r="C56" s="260"/>
      <c r="D56" s="251"/>
    </row>
    <row r="57" spans="1:4">
      <c r="A57" s="244" t="s">
        <v>95</v>
      </c>
      <c r="B57" s="244"/>
      <c r="C57" s="244"/>
      <c r="D57" s="244"/>
    </row>
    <row r="58" spans="1:4">
      <c r="A58" s="245" t="s">
        <v>96</v>
      </c>
      <c r="B58" s="249" t="s">
        <v>97</v>
      </c>
      <c r="C58" s="245" t="s">
        <v>18</v>
      </c>
      <c r="D58" s="245" t="s">
        <v>19</v>
      </c>
    </row>
    <row r="59" spans="1:4">
      <c r="A59" s="245" t="s">
        <v>42</v>
      </c>
      <c r="B59" t="s">
        <v>98</v>
      </c>
      <c r="C59" s="246"/>
      <c r="D59" s="262">
        <f>TRUNC((((365/12/2)*4.35)*2)-((D25/100)*6),2)</f>
        <v>64.87</v>
      </c>
    </row>
    <row r="60" spans="1:4">
      <c r="A60" s="245" t="s">
        <v>45</v>
      </c>
      <c r="B60" t="s">
        <v>99</v>
      </c>
      <c r="C60" s="246" t="str">
        <f>C9</f>
        <v>CCT PB000047/2021</v>
      </c>
      <c r="D60" s="195">
        <f>TRUNC((((22*18))-(((22*18))*0.2)),2)</f>
        <v>316.8</v>
      </c>
    </row>
    <row r="61" spans="1:4">
      <c r="A61" s="245" t="s">
        <v>48</v>
      </c>
      <c r="B61" t="s">
        <v>100</v>
      </c>
      <c r="C61" s="246"/>
      <c r="D61" s="195">
        <v>0</v>
      </c>
    </row>
    <row r="62" spans="1:6">
      <c r="A62" s="263" t="s">
        <v>50</v>
      </c>
      <c r="B62" s="264" t="s">
        <v>206</v>
      </c>
      <c r="C62" s="265"/>
      <c r="D62" s="265">
        <f>TRUNC(((((($D$25+$D$26+$D$28+$D$29)/220)*1.5)*(365/12))/2),2)</f>
        <v>116.55</v>
      </c>
      <c r="F62" s="264"/>
    </row>
    <row r="63" spans="1:4">
      <c r="A63" s="245" t="s">
        <v>53</v>
      </c>
      <c r="B63" s="249" t="s">
        <v>207</v>
      </c>
      <c r="C63" s="246" t="str">
        <f>C60</f>
        <v>CCT PB000047/2021</v>
      </c>
      <c r="D63" s="195">
        <v>15</v>
      </c>
    </row>
    <row r="64" spans="1:4">
      <c r="A64" s="245" t="s">
        <v>55</v>
      </c>
      <c r="B64" s="266" t="s">
        <v>208</v>
      </c>
      <c r="C64" s="265" t="str">
        <f>C60</f>
        <v>CCT PB000047/2021</v>
      </c>
      <c r="D64" s="195">
        <v>5</v>
      </c>
    </row>
    <row r="65" spans="1:4">
      <c r="A65" s="245" t="s">
        <v>58</v>
      </c>
      <c r="D65" s="251">
        <f>TRUNC((SUM(D59:D64)),2)</f>
        <v>518.22</v>
      </c>
    </row>
    <row r="66" spans="1:4">
      <c r="A66" s="245"/>
      <c r="D66" s="251"/>
    </row>
    <row r="67" spans="1:4">
      <c r="A67" s="244" t="s">
        <v>105</v>
      </c>
      <c r="B67" s="244"/>
      <c r="C67" s="244"/>
      <c r="D67" s="244"/>
    </row>
    <row r="68" spans="1:4">
      <c r="A68" s="245" t="s">
        <v>106</v>
      </c>
      <c r="B68" s="249" t="s">
        <v>107</v>
      </c>
      <c r="C68" s="245" t="s">
        <v>18</v>
      </c>
      <c r="D68" s="245" t="s">
        <v>19</v>
      </c>
    </row>
    <row r="69" spans="1:4">
      <c r="A69" s="245" t="s">
        <v>65</v>
      </c>
      <c r="B69" t="s">
        <v>66</v>
      </c>
      <c r="C69" s="245"/>
      <c r="D69" s="251">
        <f>D39</f>
        <v>218.54</v>
      </c>
    </row>
    <row r="70" spans="1:4">
      <c r="A70" s="245" t="s">
        <v>78</v>
      </c>
      <c r="B70" t="s">
        <v>79</v>
      </c>
      <c r="C70" s="245"/>
      <c r="D70" s="251">
        <f>D55</f>
        <v>534.29</v>
      </c>
    </row>
    <row r="71" spans="1:4">
      <c r="A71" s="245" t="s">
        <v>96</v>
      </c>
      <c r="B71" t="s">
        <v>97</v>
      </c>
      <c r="C71" s="245"/>
      <c r="D71" s="251">
        <f>D65</f>
        <v>518.22</v>
      </c>
    </row>
    <row r="72" spans="1:4">
      <c r="A72" s="245" t="s">
        <v>58</v>
      </c>
      <c r="C72" s="245"/>
      <c r="D72" s="251">
        <f>TRUNC((SUM(D69:D71)),2)</f>
        <v>1271.05</v>
      </c>
    </row>
    <row r="74" spans="1:4">
      <c r="A74" s="228" t="s">
        <v>108</v>
      </c>
      <c r="B74" s="228"/>
      <c r="C74" s="228"/>
      <c r="D74" s="228"/>
    </row>
    <row r="75" spans="1:4">
      <c r="A75" s="245" t="s">
        <v>109</v>
      </c>
      <c r="B75" s="249" t="s">
        <v>110</v>
      </c>
      <c r="C75" s="245" t="s">
        <v>38</v>
      </c>
      <c r="D75" s="245" t="s">
        <v>19</v>
      </c>
    </row>
    <row r="76" spans="1:4">
      <c r="A76" s="245" t="s">
        <v>42</v>
      </c>
      <c r="B76" t="s">
        <v>111</v>
      </c>
      <c r="C76" s="261">
        <f>((1/12)*5%)</f>
        <v>0.00416666666666667</v>
      </c>
      <c r="D76" s="195">
        <f>TRUNC(($D$31*C76),2)</f>
        <v>4.68</v>
      </c>
    </row>
    <row r="77" spans="1:4">
      <c r="A77" s="245" t="s">
        <v>45</v>
      </c>
      <c r="B77" t="s">
        <v>112</v>
      </c>
      <c r="C77" s="267">
        <v>0.08</v>
      </c>
      <c r="D77" s="251">
        <f>TRUNC(($D$76*C77),2)</f>
        <v>0.37</v>
      </c>
    </row>
    <row r="78" ht="30" spans="1:4">
      <c r="A78" s="245" t="s">
        <v>48</v>
      </c>
      <c r="B78" s="268" t="s">
        <v>113</v>
      </c>
      <c r="C78" s="269">
        <f>(0.08*0.4*0.05)</f>
        <v>0.0016</v>
      </c>
      <c r="D78" s="265">
        <f>TRUNC(($D$31*C78),2)</f>
        <v>1.79</v>
      </c>
    </row>
    <row r="79" spans="1:4">
      <c r="A79" s="245" t="s">
        <v>50</v>
      </c>
      <c r="B79" t="s">
        <v>114</v>
      </c>
      <c r="C79" s="270">
        <f>(((7/30)/12)*0.95)</f>
        <v>0.0184722222222222</v>
      </c>
      <c r="D79" s="271">
        <f>TRUNC(($D$31*C79),2)</f>
        <v>20.76</v>
      </c>
    </row>
    <row r="80" ht="30" spans="1:4">
      <c r="A80" s="245" t="s">
        <v>53</v>
      </c>
      <c r="B80" s="268" t="s">
        <v>209</v>
      </c>
      <c r="C80" s="269">
        <f>C55</f>
        <v>0.398</v>
      </c>
      <c r="D80" s="265">
        <f>TRUNC(($D$79*C80),2)</f>
        <v>8.26</v>
      </c>
    </row>
    <row r="81" ht="30" spans="1:4">
      <c r="A81" s="245" t="s">
        <v>55</v>
      </c>
      <c r="B81" s="268" t="s">
        <v>115</v>
      </c>
      <c r="C81" s="269">
        <f>(0.08*0.4*0.95)</f>
        <v>0.0304</v>
      </c>
      <c r="D81" s="265">
        <f>TRUNC(($D$31*C81),2)</f>
        <v>34.16</v>
      </c>
    </row>
    <row r="82" spans="1:4">
      <c r="A82" s="245" t="s">
        <v>58</v>
      </c>
      <c r="C82" s="267">
        <f>SUM(C76:C81)</f>
        <v>0.532638888888889</v>
      </c>
      <c r="D82" s="251">
        <f>TRUNC((SUM(D76:D81)),2)</f>
        <v>70.02</v>
      </c>
    </row>
    <row r="83" ht="15.75" spans="1:4">
      <c r="A83" s="245"/>
      <c r="D83" s="251"/>
    </row>
    <row r="84" ht="16.5" spans="1:4">
      <c r="A84" s="255" t="s">
        <v>210</v>
      </c>
      <c r="B84" s="255"/>
      <c r="C84" s="256" t="s">
        <v>202</v>
      </c>
      <c r="D84" s="257">
        <f>D31</f>
        <v>1124</v>
      </c>
    </row>
    <row r="85" ht="16.5" spans="1:4">
      <c r="A85" s="255"/>
      <c r="B85" s="255"/>
      <c r="C85" s="258" t="s">
        <v>211</v>
      </c>
      <c r="D85" s="257">
        <f>D72</f>
        <v>1271.05</v>
      </c>
    </row>
    <row r="86" ht="16.5" spans="1:4">
      <c r="A86" s="255"/>
      <c r="B86" s="255"/>
      <c r="C86" s="256" t="s">
        <v>212</v>
      </c>
      <c r="D86" s="257">
        <f>D82</f>
        <v>70.02</v>
      </c>
    </row>
    <row r="87" ht="16.5" spans="1:4">
      <c r="A87" s="255"/>
      <c r="B87" s="255"/>
      <c r="C87" s="258" t="s">
        <v>204</v>
      </c>
      <c r="D87" s="259">
        <f>TRUNC((SUM(D84:D86)),2)</f>
        <v>2465.07</v>
      </c>
    </row>
    <row r="88" ht="15.75" spans="1:4">
      <c r="A88" s="245"/>
      <c r="D88" s="251"/>
    </row>
    <row r="89" spans="1:4">
      <c r="A89" s="272" t="s">
        <v>127</v>
      </c>
      <c r="B89" s="272"/>
      <c r="C89" s="272"/>
      <c r="D89" s="272"/>
    </row>
    <row r="90" spans="1:4">
      <c r="A90" s="244" t="s">
        <v>128</v>
      </c>
      <c r="B90" s="244"/>
      <c r="C90" s="244"/>
      <c r="D90" s="244"/>
    </row>
    <row r="91" spans="1:4">
      <c r="A91" s="245" t="s">
        <v>129</v>
      </c>
      <c r="B91" s="249" t="s">
        <v>130</v>
      </c>
      <c r="C91" s="245" t="s">
        <v>38</v>
      </c>
      <c r="D91" s="245" t="s">
        <v>19</v>
      </c>
    </row>
    <row r="92" spans="1:4">
      <c r="A92" s="245" t="s">
        <v>42</v>
      </c>
      <c r="B92" t="s">
        <v>213</v>
      </c>
      <c r="C92" s="267">
        <f>(((1+1/3)/12)/12)+((1/12)/12)</f>
        <v>0.0162037037037037</v>
      </c>
      <c r="D92" s="251">
        <f>TRUNC(($D$87*C92),2)</f>
        <v>39.94</v>
      </c>
    </row>
    <row r="93" spans="1:4">
      <c r="A93" s="245" t="s">
        <v>45</v>
      </c>
      <c r="B93" t="s">
        <v>133</v>
      </c>
      <c r="C93" s="261">
        <f>((2/30)/12)</f>
        <v>0.00555555555555556</v>
      </c>
      <c r="D93" s="265">
        <f>TRUNC(($D$87*C93),2)</f>
        <v>13.69</v>
      </c>
    </row>
    <row r="94" spans="1:4">
      <c r="A94" s="245" t="s">
        <v>48</v>
      </c>
      <c r="B94" t="s">
        <v>134</v>
      </c>
      <c r="C94" s="261">
        <f>((5/30)/12)*0.02</f>
        <v>0.000277777777777778</v>
      </c>
      <c r="D94" s="265">
        <f>TRUNC(($D$87*C94),2)</f>
        <v>0.68</v>
      </c>
    </row>
    <row r="95" ht="30" spans="1:4">
      <c r="A95" s="263" t="s">
        <v>50</v>
      </c>
      <c r="B95" s="268" t="s">
        <v>135</v>
      </c>
      <c r="C95" s="269">
        <f>((15/30)/12)*0.08</f>
        <v>0.00333333333333333</v>
      </c>
      <c r="D95" s="265">
        <f>TRUNC(($D$87*C95),2)</f>
        <v>8.21</v>
      </c>
    </row>
    <row r="96" spans="1:4">
      <c r="A96" s="245" t="s">
        <v>53</v>
      </c>
      <c r="B96" t="s">
        <v>136</v>
      </c>
      <c r="C96" s="261">
        <f>((1+1/3)/12)*0.03*((4/12))</f>
        <v>0.00111111111111111</v>
      </c>
      <c r="D96" s="265">
        <f>TRUNC(($D$87*C96),2)</f>
        <v>2.73</v>
      </c>
    </row>
    <row r="97" ht="30" spans="1:4">
      <c r="A97" s="245" t="s">
        <v>55</v>
      </c>
      <c r="B97" s="268" t="s">
        <v>214</v>
      </c>
      <c r="C97" s="273">
        <v>0</v>
      </c>
      <c r="D97" s="265">
        <f>TRUNC($D$87*C97)</f>
        <v>0</v>
      </c>
    </row>
    <row r="98" spans="1:4">
      <c r="A98" s="245" t="s">
        <v>58</v>
      </c>
      <c r="C98" s="267">
        <f>SUM(C92:C97)</f>
        <v>0.0264814814814815</v>
      </c>
      <c r="D98" s="251">
        <f>TRUNC((SUM(D92:D97)),2)</f>
        <v>65.25</v>
      </c>
    </row>
    <row r="99" spans="1:4">
      <c r="A99" s="245"/>
      <c r="C99" s="245"/>
      <c r="D99" s="251"/>
    </row>
    <row r="100" spans="1:4">
      <c r="A100" s="244" t="s">
        <v>144</v>
      </c>
      <c r="B100" s="244"/>
      <c r="C100" s="244"/>
      <c r="D100" s="244"/>
    </row>
    <row r="101" spans="1:4">
      <c r="A101" s="245" t="s">
        <v>145</v>
      </c>
      <c r="B101" s="249" t="s">
        <v>146</v>
      </c>
      <c r="C101" s="245" t="s">
        <v>18</v>
      </c>
      <c r="D101" s="245" t="s">
        <v>19</v>
      </c>
    </row>
    <row r="102" ht="105" spans="1:4">
      <c r="A102" s="263" t="s">
        <v>42</v>
      </c>
      <c r="B102" s="274" t="s">
        <v>147</v>
      </c>
      <c r="C102" s="205" t="s">
        <v>215</v>
      </c>
      <c r="D102" s="206" t="s">
        <v>216</v>
      </c>
    </row>
    <row r="103" spans="1:4">
      <c r="A103" s="245" t="s">
        <v>58</v>
      </c>
      <c r="C103" s="245"/>
      <c r="D103" s="207" t="str">
        <f>D102</f>
        <v>*=TRUNCAR(($D$86/220)*(1*(365/12))/2)</v>
      </c>
    </row>
    <row r="105" spans="1:4">
      <c r="A105" s="244" t="s">
        <v>148</v>
      </c>
      <c r="B105" s="244"/>
      <c r="C105" s="244"/>
      <c r="D105" s="244"/>
    </row>
    <row r="106" spans="1:4">
      <c r="A106" s="245" t="s">
        <v>149</v>
      </c>
      <c r="B106" s="249" t="s">
        <v>150</v>
      </c>
      <c r="C106" s="245" t="s">
        <v>18</v>
      </c>
      <c r="D106" s="245" t="s">
        <v>19</v>
      </c>
    </row>
    <row r="107" spans="1:4">
      <c r="A107" s="245" t="s">
        <v>129</v>
      </c>
      <c r="B107" t="s">
        <v>130</v>
      </c>
      <c r="D107" s="195">
        <f>D98</f>
        <v>65.25</v>
      </c>
    </row>
    <row r="108" spans="1:4">
      <c r="A108" s="245" t="s">
        <v>145</v>
      </c>
      <c r="B108" t="s">
        <v>151</v>
      </c>
      <c r="C108" s="249"/>
      <c r="D108" s="276" t="str">
        <f>Submódulo4.260_55[[#Totals],[Valor]]</f>
        <v>*=TRUNCAR(($D$86/220)*(1*(365/12))/2)</v>
      </c>
    </row>
    <row r="109" ht="75" spans="1:4">
      <c r="A109" s="263" t="s">
        <v>58</v>
      </c>
      <c r="B109" s="264"/>
      <c r="C109" s="205" t="s">
        <v>217</v>
      </c>
      <c r="D109" s="277">
        <f>TRUNC((SUM(D107:D108)),2)</f>
        <v>65.25</v>
      </c>
    </row>
    <row r="111" spans="1:4">
      <c r="A111" s="228" t="s">
        <v>152</v>
      </c>
      <c r="B111" s="228"/>
      <c r="C111" s="228"/>
      <c r="D111" s="228"/>
    </row>
    <row r="112" spans="1:4">
      <c r="A112" s="263" t="s">
        <v>153</v>
      </c>
      <c r="B112" s="264" t="s">
        <v>154</v>
      </c>
      <c r="C112" s="263" t="s">
        <v>18</v>
      </c>
      <c r="D112" s="263" t="s">
        <v>19</v>
      </c>
    </row>
    <row r="113" spans="1:4">
      <c r="A113" s="245" t="s">
        <v>42</v>
      </c>
      <c r="B113" t="s">
        <v>218</v>
      </c>
      <c r="D113" s="178">
        <f>Uniformes!G35</f>
        <v>71.61</v>
      </c>
    </row>
    <row r="114" spans="1:4">
      <c r="A114" s="245" t="s">
        <v>45</v>
      </c>
      <c r="B114" t="s">
        <v>219</v>
      </c>
      <c r="D114" s="178">
        <f>EPC!E21</f>
        <v>8.44</v>
      </c>
    </row>
    <row r="115" spans="1:4">
      <c r="A115" s="245" t="s">
        <v>48</v>
      </c>
      <c r="B115" t="s">
        <v>156</v>
      </c>
      <c r="D115" s="178">
        <f>'Materiais e Equipamentos'!G136</f>
        <v>4.75</v>
      </c>
    </row>
    <row r="116" spans="1:4">
      <c r="A116" s="245" t="s">
        <v>50</v>
      </c>
      <c r="B116" t="s">
        <v>157</v>
      </c>
      <c r="D116" s="178">
        <v>0</v>
      </c>
    </row>
    <row r="117" spans="1:4">
      <c r="A117" s="245" t="s">
        <v>53</v>
      </c>
      <c r="B117" t="s">
        <v>220</v>
      </c>
      <c r="D117" s="178">
        <f>H116</f>
        <v>0</v>
      </c>
    </row>
    <row r="118" spans="1:4">
      <c r="A118" s="245" t="s">
        <v>58</v>
      </c>
      <c r="D118" s="251">
        <f>TRUNC(SUM(D113:D117),2)</f>
        <v>84.8</v>
      </c>
    </row>
    <row r="119" ht="15.75"/>
    <row r="120" ht="16.5" spans="1:4">
      <c r="A120" s="255" t="s">
        <v>221</v>
      </c>
      <c r="B120" s="255"/>
      <c r="C120" s="256" t="s">
        <v>202</v>
      </c>
      <c r="D120" s="257">
        <f>D31</f>
        <v>1124</v>
      </c>
    </row>
    <row r="121" ht="16.5" spans="1:4">
      <c r="A121" s="255"/>
      <c r="B121" s="255"/>
      <c r="C121" s="258" t="s">
        <v>211</v>
      </c>
      <c r="D121" s="257">
        <f>D72</f>
        <v>1271.05</v>
      </c>
    </row>
    <row r="122" ht="16.5" spans="1:4">
      <c r="A122" s="255"/>
      <c r="B122" s="255"/>
      <c r="C122" s="256" t="s">
        <v>212</v>
      </c>
      <c r="D122" s="257">
        <f>D82</f>
        <v>70.02</v>
      </c>
    </row>
    <row r="123" ht="16.5" spans="1:4">
      <c r="A123" s="255"/>
      <c r="B123" s="255"/>
      <c r="C123" s="258" t="s">
        <v>222</v>
      </c>
      <c r="D123" s="257">
        <f>D109</f>
        <v>65.25</v>
      </c>
    </row>
    <row r="124" ht="16.5" spans="1:4">
      <c r="A124" s="255"/>
      <c r="B124" s="255"/>
      <c r="C124" s="256" t="s">
        <v>223</v>
      </c>
      <c r="D124" s="257">
        <f>D118</f>
        <v>84.8</v>
      </c>
    </row>
    <row r="125" ht="16.5" spans="1:4">
      <c r="A125" s="255"/>
      <c r="B125" s="255"/>
      <c r="C125" s="258" t="s">
        <v>204</v>
      </c>
      <c r="D125" s="259">
        <f>TRUNC((SUM(D120:D124)),2)</f>
        <v>2615.12</v>
      </c>
    </row>
    <row r="126" ht="15.75"/>
    <row r="127" spans="1:4">
      <c r="A127" s="228" t="s">
        <v>164</v>
      </c>
      <c r="B127" s="228"/>
      <c r="C127" s="228"/>
      <c r="D127" s="228"/>
    </row>
    <row r="128" ht="15.75" spans="1:7">
      <c r="A128" s="245" t="s">
        <v>165</v>
      </c>
      <c r="B128" t="s">
        <v>166</v>
      </c>
      <c r="C128" s="245" t="s">
        <v>38</v>
      </c>
      <c r="D128" s="245" t="s">
        <v>19</v>
      </c>
      <c r="F128" s="278" t="s">
        <v>224</v>
      </c>
      <c r="G128" s="278"/>
    </row>
    <row r="129" ht="15.75" spans="1:7">
      <c r="A129" s="245" t="s">
        <v>42</v>
      </c>
      <c r="B129" t="s">
        <v>167</v>
      </c>
      <c r="C129" s="191">
        <v>0.044</v>
      </c>
      <c r="D129" s="178">
        <f>TRUNC(($D$125*C129),2)</f>
        <v>115.06</v>
      </c>
      <c r="F129" s="279" t="s">
        <v>225</v>
      </c>
      <c r="G129" s="269">
        <f>C131</f>
        <v>0.0865</v>
      </c>
    </row>
    <row r="130" ht="15.75" spans="1:7">
      <c r="A130" s="245" t="s">
        <v>45</v>
      </c>
      <c r="B130" t="s">
        <v>59</v>
      </c>
      <c r="C130" s="191">
        <v>0.0413</v>
      </c>
      <c r="D130" s="178">
        <f>TRUNC((C130*(D125+D129)),2)</f>
        <v>112.75</v>
      </c>
      <c r="F130" s="280" t="s">
        <v>226</v>
      </c>
      <c r="G130" s="281">
        <f>TRUNC(SUM(D125,D129,D130),2)</f>
        <v>2842.93</v>
      </c>
    </row>
    <row r="131" ht="15.75" spans="1:7">
      <c r="A131" s="245" t="s">
        <v>48</v>
      </c>
      <c r="B131" t="s">
        <v>168</v>
      </c>
      <c r="C131" s="191">
        <f>SUM(C132:C134)</f>
        <v>0.0865</v>
      </c>
      <c r="D131" s="178">
        <f>TRUNC((SUM(D132:D134)),2)</f>
        <v>269.18</v>
      </c>
      <c r="F131" s="279" t="s">
        <v>227</v>
      </c>
      <c r="G131" s="282">
        <f>(100-8.65)/100</f>
        <v>0.9135</v>
      </c>
    </row>
    <row r="132" ht="15.75" spans="1:7">
      <c r="A132" s="245"/>
      <c r="B132" t="s">
        <v>228</v>
      </c>
      <c r="C132" s="261">
        <v>0.0065</v>
      </c>
      <c r="D132" s="195">
        <f>TRUNC(($G$132*C132),2)</f>
        <v>20.22</v>
      </c>
      <c r="F132" s="280" t="s">
        <v>224</v>
      </c>
      <c r="G132" s="281">
        <f>TRUNC((G130/G131),2)</f>
        <v>3112.12</v>
      </c>
    </row>
    <row r="133" ht="15.75" spans="1:4">
      <c r="A133" s="245"/>
      <c r="B133" t="s">
        <v>229</v>
      </c>
      <c r="C133" s="261">
        <v>0.03</v>
      </c>
      <c r="D133" s="195">
        <f>TRUNC(($G$132*C133),2)</f>
        <v>93.36</v>
      </c>
    </row>
    <row r="134" spans="1:4">
      <c r="A134" s="245"/>
      <c r="B134" t="s">
        <v>230</v>
      </c>
      <c r="C134" s="261">
        <v>0.05</v>
      </c>
      <c r="D134" s="195">
        <f>TRUNC(($G$132*C134),2)</f>
        <v>155.6</v>
      </c>
    </row>
    <row r="135" spans="1:4">
      <c r="A135" s="245" t="s">
        <v>58</v>
      </c>
      <c r="C135" s="283"/>
      <c r="D135" s="251">
        <f>TRUNC(SUM(D129:D131),2)</f>
        <v>496.99</v>
      </c>
    </row>
    <row r="136" spans="1:4">
      <c r="A136" s="245"/>
      <c r="C136" s="283"/>
      <c r="D136" s="251"/>
    </row>
    <row r="138" spans="1:4">
      <c r="A138" s="228" t="s">
        <v>172</v>
      </c>
      <c r="B138" s="228"/>
      <c r="C138" s="228"/>
      <c r="D138" s="228"/>
    </row>
    <row r="139" spans="1:4">
      <c r="A139" s="245" t="s">
        <v>16</v>
      </c>
      <c r="B139" s="245" t="s">
        <v>173</v>
      </c>
      <c r="C139" s="245" t="s">
        <v>102</v>
      </c>
      <c r="D139" s="245" t="s">
        <v>19</v>
      </c>
    </row>
    <row r="140" spans="1:4">
      <c r="A140" s="245" t="s">
        <v>42</v>
      </c>
      <c r="B140" t="s">
        <v>36</v>
      </c>
      <c r="D140" s="251">
        <f>D31</f>
        <v>1124</v>
      </c>
    </row>
    <row r="141" spans="1:4">
      <c r="A141" s="245" t="s">
        <v>45</v>
      </c>
      <c r="B141" t="s">
        <v>61</v>
      </c>
      <c r="D141" s="251">
        <f>D72</f>
        <v>1271.05</v>
      </c>
    </row>
    <row r="142" spans="1:4">
      <c r="A142" s="245" t="s">
        <v>48</v>
      </c>
      <c r="B142" t="s">
        <v>108</v>
      </c>
      <c r="D142" s="251">
        <f>D82</f>
        <v>70.02</v>
      </c>
    </row>
    <row r="143" spans="1:4">
      <c r="A143" s="245" t="s">
        <v>50</v>
      </c>
      <c r="B143" t="s">
        <v>174</v>
      </c>
      <c r="D143" s="251">
        <f>D109</f>
        <v>65.25</v>
      </c>
    </row>
    <row r="144" spans="1:4">
      <c r="A144" s="245" t="s">
        <v>53</v>
      </c>
      <c r="B144" t="s">
        <v>152</v>
      </c>
      <c r="D144" s="251">
        <f>D118</f>
        <v>84.8</v>
      </c>
    </row>
    <row r="145" spans="2:4">
      <c r="B145" s="284" t="s">
        <v>175</v>
      </c>
      <c r="D145" s="251">
        <f>TRUNC(SUM(D140:D144),2)</f>
        <v>2615.12</v>
      </c>
    </row>
    <row r="146" spans="1:4">
      <c r="A146" s="245" t="s">
        <v>55</v>
      </c>
      <c r="B146" t="s">
        <v>164</v>
      </c>
      <c r="D146" s="251">
        <f>D135</f>
        <v>496.99</v>
      </c>
    </row>
    <row r="147" spans="1:4">
      <c r="A147" s="285"/>
      <c r="B147" s="286" t="s">
        <v>231</v>
      </c>
      <c r="C147" s="285"/>
      <c r="D147" s="287">
        <f>TRUNC((SUM(D140:D144)+D146),2)</f>
        <v>3112.11</v>
      </c>
    </row>
    <row r="148" spans="1:4">
      <c r="A148" s="290"/>
      <c r="B148" s="291" t="s">
        <v>239</v>
      </c>
      <c r="C148" s="290"/>
      <c r="D148" s="292">
        <f>TRUNC(D147*2,2)</f>
        <v>6224.22</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9"/>
  <sheetViews>
    <sheetView topLeftCell="A138" workbookViewId="0">
      <selection activeCell="A2" sqref="A2:D147"/>
    </sheetView>
  </sheetViews>
  <sheetFormatPr defaultColWidth="9.14285714285714" defaultRowHeight="15" outlineLevelCol="6"/>
  <cols>
    <col min="1" max="1" width="10.447619047619" customWidth="1"/>
    <col min="2" max="2" width="46.552380952381" customWidth="1"/>
    <col min="3" max="3" width="22.2190476190476" customWidth="1"/>
    <col min="4" max="4" width="32.1142857142857" customWidth="1"/>
    <col min="6" max="6" width="22.8571428571429" customWidth="1"/>
    <col min="7" max="7" width="13.647619047619" customWidth="1"/>
    <col min="8" max="8" width="10.952380952381" customWidth="1"/>
    <col min="9" max="9" width="11.4285714285714" customWidth="1"/>
  </cols>
  <sheetData>
    <row r="2" ht="19.5" spans="1:4">
      <c r="A2" s="221" t="s">
        <v>177</v>
      </c>
      <c r="B2" s="221"/>
      <c r="C2" s="221"/>
      <c r="D2" s="221"/>
    </row>
    <row r="3" ht="15.75" spans="1:4">
      <c r="A3" s="222" t="s">
        <v>178</v>
      </c>
      <c r="B3" s="222"/>
      <c r="C3" s="222"/>
      <c r="D3" s="222"/>
    </row>
    <row r="4" ht="30" spans="1:4">
      <c r="A4" s="223" t="s">
        <v>179</v>
      </c>
      <c r="B4" s="224" t="s">
        <v>180</v>
      </c>
      <c r="C4" s="225"/>
      <c r="D4" s="225"/>
    </row>
    <row r="5" spans="1:4">
      <c r="A5" s="226"/>
      <c r="B5" s="227"/>
      <c r="C5" s="227"/>
      <c r="D5" s="227"/>
    </row>
    <row r="6" ht="15.75" spans="1:4">
      <c r="A6" s="228" t="s">
        <v>181</v>
      </c>
      <c r="B6" s="228"/>
      <c r="C6" s="228"/>
      <c r="D6" s="228"/>
    </row>
    <row r="7" ht="15.75" spans="1:4">
      <c r="A7" s="229" t="s">
        <v>42</v>
      </c>
      <c r="B7" s="230" t="s">
        <v>182</v>
      </c>
      <c r="C7" s="231" t="s">
        <v>183</v>
      </c>
      <c r="D7" s="231"/>
    </row>
    <row r="8" spans="1:4">
      <c r="A8" s="232" t="s">
        <v>45</v>
      </c>
      <c r="B8" s="233" t="s">
        <v>184</v>
      </c>
      <c r="C8" s="234" t="s">
        <v>185</v>
      </c>
      <c r="D8" s="234"/>
    </row>
    <row r="9" spans="1:4">
      <c r="A9" s="235" t="s">
        <v>48</v>
      </c>
      <c r="B9" s="236" t="s">
        <v>186</v>
      </c>
      <c r="C9" s="234" t="s">
        <v>240</v>
      </c>
      <c r="D9" s="234"/>
    </row>
    <row r="10" spans="1:4">
      <c r="A10" s="232" t="s">
        <v>53</v>
      </c>
      <c r="B10" s="233" t="s">
        <v>188</v>
      </c>
      <c r="C10" s="234" t="s">
        <v>189</v>
      </c>
      <c r="D10" s="234"/>
    </row>
    <row r="11" ht="15.75" spans="1:4">
      <c r="A11" s="237" t="s">
        <v>190</v>
      </c>
      <c r="B11" s="237"/>
      <c r="C11" s="237"/>
      <c r="D11" s="237"/>
    </row>
    <row r="12" ht="16.5" spans="1:4">
      <c r="A12" s="238" t="s">
        <v>191</v>
      </c>
      <c r="B12" s="238"/>
      <c r="C12" s="237" t="s">
        <v>192</v>
      </c>
      <c r="D12" s="239" t="s">
        <v>193</v>
      </c>
    </row>
    <row r="13" ht="15.75" spans="1:4">
      <c r="A13" s="240" t="s">
        <v>241</v>
      </c>
      <c r="B13" s="240"/>
      <c r="C13" s="234" t="s">
        <v>195</v>
      </c>
      <c r="D13" s="241">
        <f>RESUMO!D6</f>
        <v>2</v>
      </c>
    </row>
    <row r="14" spans="1:4">
      <c r="A14" s="242"/>
      <c r="B14" s="242"/>
      <c r="C14" s="234"/>
      <c r="D14" s="243"/>
    </row>
    <row r="15" ht="15.75" spans="1:7">
      <c r="A15" s="237" t="s">
        <v>14</v>
      </c>
      <c r="B15" s="237"/>
      <c r="C15" s="237"/>
      <c r="D15" s="237"/>
      <c r="F15" s="244"/>
      <c r="G15" s="244"/>
    </row>
    <row r="16" ht="15.75" spans="1:4">
      <c r="A16" s="245" t="s">
        <v>16</v>
      </c>
      <c r="B16" t="s">
        <v>17</v>
      </c>
      <c r="C16" s="245" t="s">
        <v>18</v>
      </c>
      <c r="D16" s="245" t="s">
        <v>19</v>
      </c>
    </row>
    <row r="17" spans="1:4">
      <c r="A17" s="245">
        <v>1</v>
      </c>
      <c r="B17" t="s">
        <v>20</v>
      </c>
      <c r="C17" s="246" t="s">
        <v>102</v>
      </c>
      <c r="D17" s="246" t="str">
        <f>A13</f>
        <v>Motorista Interestadual</v>
      </c>
    </row>
    <row r="18" spans="1:4">
      <c r="A18" s="245">
        <v>2</v>
      </c>
      <c r="B18" t="s">
        <v>23</v>
      </c>
      <c r="C18" s="246" t="s">
        <v>196</v>
      </c>
      <c r="D18" s="246" t="s">
        <v>242</v>
      </c>
    </row>
    <row r="19" spans="1:4">
      <c r="A19" s="245">
        <v>3</v>
      </c>
      <c r="B19" t="s">
        <v>26</v>
      </c>
      <c r="C19" s="246" t="str">
        <f>C9</f>
        <v>CCT PB000035/2019*</v>
      </c>
      <c r="D19" s="195">
        <v>2629</v>
      </c>
    </row>
    <row r="20" spans="1:4">
      <c r="A20" s="245">
        <v>4</v>
      </c>
      <c r="B20" t="s">
        <v>29</v>
      </c>
      <c r="C20" s="246" t="str">
        <f>C9</f>
        <v>CCT PB000035/2019*</v>
      </c>
      <c r="D20" s="247" t="s">
        <v>243</v>
      </c>
    </row>
    <row r="21" spans="1:4">
      <c r="A21" s="245">
        <v>5</v>
      </c>
      <c r="B21" t="s">
        <v>33</v>
      </c>
      <c r="C21" s="246" t="str">
        <f>C9</f>
        <v>CCT PB000035/2019*</v>
      </c>
      <c r="D21" s="248" t="s">
        <v>199</v>
      </c>
    </row>
    <row r="22" spans="6:7">
      <c r="F22" s="244"/>
      <c r="G22" s="244"/>
    </row>
    <row r="23" spans="1:4">
      <c r="A23" s="228" t="s">
        <v>36</v>
      </c>
      <c r="B23" s="228"/>
      <c r="C23" s="228"/>
      <c r="D23" s="228"/>
    </row>
    <row r="24" spans="1:7">
      <c r="A24" s="245" t="s">
        <v>39</v>
      </c>
      <c r="B24" s="249" t="s">
        <v>40</v>
      </c>
      <c r="C24" s="245" t="s">
        <v>18</v>
      </c>
      <c r="D24" s="245" t="s">
        <v>19</v>
      </c>
      <c r="G24" s="250"/>
    </row>
    <row r="25" spans="1:7">
      <c r="A25" s="245" t="s">
        <v>42</v>
      </c>
      <c r="B25" t="s">
        <v>43</v>
      </c>
      <c r="C25" s="247" t="str">
        <f>C9</f>
        <v>CCT PB000035/2019*</v>
      </c>
      <c r="D25" s="195">
        <f>D19</f>
        <v>2629</v>
      </c>
      <c r="G25" s="250"/>
    </row>
    <row r="26" spans="1:7">
      <c r="A26" s="245" t="s">
        <v>45</v>
      </c>
      <c r="B26" t="s">
        <v>46</v>
      </c>
      <c r="C26" s="247"/>
      <c r="D26" s="195">
        <v>0</v>
      </c>
      <c r="G26" s="250"/>
    </row>
    <row r="27" spans="1:4">
      <c r="A27" s="245" t="s">
        <v>48</v>
      </c>
      <c r="B27" t="s">
        <v>49</v>
      </c>
      <c r="C27" s="247"/>
      <c r="D27" s="195">
        <v>0</v>
      </c>
    </row>
    <row r="28" spans="1:4">
      <c r="A28" s="245" t="s">
        <v>50</v>
      </c>
      <c r="B28" t="s">
        <v>51</v>
      </c>
      <c r="C28" s="247"/>
      <c r="D28" s="195">
        <v>0</v>
      </c>
    </row>
    <row r="29" spans="1:4">
      <c r="A29" s="245" t="s">
        <v>53</v>
      </c>
      <c r="B29" t="s">
        <v>54</v>
      </c>
      <c r="C29" s="247"/>
      <c r="D29" s="195">
        <v>0</v>
      </c>
    </row>
    <row r="30" spans="1:4">
      <c r="A30" s="245" t="s">
        <v>55</v>
      </c>
      <c r="B30" t="s">
        <v>56</v>
      </c>
      <c r="C30" s="247"/>
      <c r="D30" s="195">
        <v>0</v>
      </c>
    </row>
    <row r="31" spans="1:7">
      <c r="A31" s="245" t="s">
        <v>58</v>
      </c>
      <c r="C31" s="245"/>
      <c r="D31" s="251">
        <f>TRUNC(SUM(D25:D30),2)</f>
        <v>2629</v>
      </c>
      <c r="F31" s="244"/>
      <c r="G31" s="244"/>
    </row>
    <row r="33" spans="1:7">
      <c r="A33" s="252" t="s">
        <v>61</v>
      </c>
      <c r="B33" s="252"/>
      <c r="C33" s="252"/>
      <c r="D33" s="252"/>
      <c r="G33" s="250"/>
    </row>
    <row r="35" spans="1:4">
      <c r="A35" s="244" t="s">
        <v>63</v>
      </c>
      <c r="B35" s="244"/>
      <c r="C35" s="244"/>
      <c r="D35" s="244"/>
    </row>
    <row r="36" spans="1:4">
      <c r="A36" s="245" t="s">
        <v>65</v>
      </c>
      <c r="B36" s="249" t="s">
        <v>66</v>
      </c>
      <c r="C36" s="245" t="s">
        <v>38</v>
      </c>
      <c r="D36" s="245" t="s">
        <v>19</v>
      </c>
    </row>
    <row r="37" spans="1:7">
      <c r="A37" s="245" t="s">
        <v>42</v>
      </c>
      <c r="B37" t="s">
        <v>67</v>
      </c>
      <c r="C37" s="253">
        <f>(1/12)</f>
        <v>0.0833333333333333</v>
      </c>
      <c r="D37" s="251">
        <f>TRUNC($D$31*C37,2)</f>
        <v>219.08</v>
      </c>
      <c r="F37" s="254"/>
      <c r="G37" s="254"/>
    </row>
    <row r="38" spans="1:7">
      <c r="A38" s="245" t="s">
        <v>45</v>
      </c>
      <c r="B38" t="s">
        <v>68</v>
      </c>
      <c r="C38" s="253">
        <f>(((1+1/3)/12))</f>
        <v>0.111111111111111</v>
      </c>
      <c r="D38" s="251">
        <f>TRUNC($D$31*C38,2)</f>
        <v>292.11</v>
      </c>
      <c r="F38" s="254"/>
      <c r="G38" s="254"/>
    </row>
    <row r="39" spans="1:7">
      <c r="A39" s="245" t="s">
        <v>58</v>
      </c>
      <c r="D39" s="251">
        <f>TRUNC((SUM(D37:D38)),2)</f>
        <v>511.19</v>
      </c>
      <c r="F39" s="254"/>
      <c r="G39" s="254"/>
    </row>
    <row r="40" ht="15.75" spans="4:7">
      <c r="D40" s="251"/>
      <c r="F40" s="254"/>
      <c r="G40" s="254"/>
    </row>
    <row r="41" ht="16.5" spans="1:7">
      <c r="A41" s="255" t="s">
        <v>201</v>
      </c>
      <c r="B41" s="255"/>
      <c r="C41" s="256" t="s">
        <v>202</v>
      </c>
      <c r="D41" s="257">
        <f>D31</f>
        <v>2629</v>
      </c>
      <c r="F41" s="254"/>
      <c r="G41" s="254"/>
    </row>
    <row r="42" ht="16.5" spans="1:7">
      <c r="A42" s="255"/>
      <c r="B42" s="255"/>
      <c r="C42" s="258" t="s">
        <v>203</v>
      </c>
      <c r="D42" s="257">
        <f>D39</f>
        <v>511.19</v>
      </c>
      <c r="F42" s="254"/>
      <c r="G42" s="254"/>
    </row>
    <row r="43" ht="16.5" spans="1:7">
      <c r="A43" s="255"/>
      <c r="B43" s="255"/>
      <c r="C43" s="256" t="s">
        <v>204</v>
      </c>
      <c r="D43" s="259">
        <f>TRUNC((SUM(D41:D42)),2)</f>
        <v>3140.19</v>
      </c>
      <c r="F43" s="254"/>
      <c r="G43" s="254"/>
    </row>
    <row r="44" ht="15.75" spans="1:7">
      <c r="A44" s="245"/>
      <c r="C44" s="260"/>
      <c r="D44" s="251"/>
      <c r="F44" s="254"/>
      <c r="G44" s="254"/>
    </row>
    <row r="45" spans="1:4">
      <c r="A45" s="244" t="s">
        <v>77</v>
      </c>
      <c r="B45" s="244"/>
      <c r="C45" s="244"/>
      <c r="D45" s="244"/>
    </row>
    <row r="46" spans="1:4">
      <c r="A46" s="245" t="s">
        <v>78</v>
      </c>
      <c r="B46" s="249" t="s">
        <v>79</v>
      </c>
      <c r="C46" s="245" t="s">
        <v>38</v>
      </c>
      <c r="D46" s="245" t="s">
        <v>80</v>
      </c>
    </row>
    <row r="47" spans="1:4">
      <c r="A47" s="245" t="s">
        <v>42</v>
      </c>
      <c r="B47" t="s">
        <v>81</v>
      </c>
      <c r="C47" s="253">
        <v>0.2</v>
      </c>
      <c r="D47" s="251">
        <f t="shared" ref="D47:D54" si="0">TRUNC(($D$43*C47),2)</f>
        <v>628.03</v>
      </c>
    </row>
    <row r="48" spans="1:4">
      <c r="A48" s="245" t="s">
        <v>45</v>
      </c>
      <c r="B48" t="s">
        <v>82</v>
      </c>
      <c r="C48" s="253">
        <v>0.025</v>
      </c>
      <c r="D48" s="251">
        <f t="shared" si="0"/>
        <v>78.5</v>
      </c>
    </row>
    <row r="49" spans="1:4">
      <c r="A49" s="245" t="s">
        <v>48</v>
      </c>
      <c r="B49" t="s">
        <v>205</v>
      </c>
      <c r="C49" s="261">
        <v>0.06</v>
      </c>
      <c r="D49" s="195">
        <f t="shared" si="0"/>
        <v>188.41</v>
      </c>
    </row>
    <row r="50" spans="1:4">
      <c r="A50" s="245" t="s">
        <v>50</v>
      </c>
      <c r="B50" t="s">
        <v>84</v>
      </c>
      <c r="C50" s="253">
        <v>0.015</v>
      </c>
      <c r="D50" s="251">
        <f t="shared" si="0"/>
        <v>47.1</v>
      </c>
    </row>
    <row r="51" spans="1:4">
      <c r="A51" s="245" t="s">
        <v>53</v>
      </c>
      <c r="B51" t="s">
        <v>85</v>
      </c>
      <c r="C51" s="253">
        <v>0.01</v>
      </c>
      <c r="D51" s="251">
        <f t="shared" si="0"/>
        <v>31.4</v>
      </c>
    </row>
    <row r="52" spans="1:4">
      <c r="A52" s="245" t="s">
        <v>55</v>
      </c>
      <c r="B52" t="s">
        <v>86</v>
      </c>
      <c r="C52" s="253">
        <v>0.006</v>
      </c>
      <c r="D52" s="251">
        <f t="shared" si="0"/>
        <v>18.84</v>
      </c>
    </row>
    <row r="53" spans="1:4">
      <c r="A53" s="245" t="s">
        <v>87</v>
      </c>
      <c r="B53" t="s">
        <v>88</v>
      </c>
      <c r="C53" s="253">
        <v>0.002</v>
      </c>
      <c r="D53" s="251">
        <f t="shared" si="0"/>
        <v>6.28</v>
      </c>
    </row>
    <row r="54" spans="1:4">
      <c r="A54" s="245" t="s">
        <v>89</v>
      </c>
      <c r="B54" t="s">
        <v>90</v>
      </c>
      <c r="C54" s="253">
        <v>0.08</v>
      </c>
      <c r="D54" s="251">
        <f t="shared" si="0"/>
        <v>251.21</v>
      </c>
    </row>
    <row r="55" spans="1:4">
      <c r="A55" s="245" t="s">
        <v>58</v>
      </c>
      <c r="C55" s="260">
        <f>SUM(C47:C54)</f>
        <v>0.398</v>
      </c>
      <c r="D55" s="251">
        <f>TRUNC((SUM(D47:D54)),2)</f>
        <v>1249.77</v>
      </c>
    </row>
    <row r="56" spans="1:4">
      <c r="A56" s="245"/>
      <c r="C56" s="260"/>
      <c r="D56" s="251"/>
    </row>
    <row r="57" spans="1:4">
      <c r="A57" s="244" t="s">
        <v>95</v>
      </c>
      <c r="B57" s="244"/>
      <c r="C57" s="244"/>
      <c r="D57" s="244"/>
    </row>
    <row r="58" spans="1:4">
      <c r="A58" s="245" t="s">
        <v>96</v>
      </c>
      <c r="B58" s="249" t="s">
        <v>97</v>
      </c>
      <c r="C58" s="245" t="s">
        <v>18</v>
      </c>
      <c r="D58" s="245" t="s">
        <v>19</v>
      </c>
    </row>
    <row r="59" spans="1:4">
      <c r="A59" s="245" t="s">
        <v>42</v>
      </c>
      <c r="B59" t="s">
        <v>98</v>
      </c>
      <c r="C59" s="246"/>
      <c r="D59" s="262">
        <f>TRUNC(((22*4.35)*2)-((D25/100)*6),2)</f>
        <v>33.66</v>
      </c>
    </row>
    <row r="60" spans="1:4">
      <c r="A60" s="245" t="s">
        <v>45</v>
      </c>
      <c r="B60" t="s">
        <v>99</v>
      </c>
      <c r="C60" s="246" t="str">
        <f>C9</f>
        <v>CCT PB000035/2019*</v>
      </c>
      <c r="D60" s="195">
        <v>600</v>
      </c>
    </row>
    <row r="61" spans="1:4">
      <c r="A61" s="245" t="s">
        <v>48</v>
      </c>
      <c r="B61" t="s">
        <v>100</v>
      </c>
      <c r="C61" s="246"/>
      <c r="D61" s="195">
        <v>0</v>
      </c>
    </row>
    <row r="62" spans="1:6">
      <c r="A62" s="263" t="s">
        <v>50</v>
      </c>
      <c r="B62" s="264" t="s">
        <v>206</v>
      </c>
      <c r="C62" s="265"/>
      <c r="D62" s="265">
        <v>0</v>
      </c>
      <c r="F62" s="264"/>
    </row>
    <row r="63" spans="1:4">
      <c r="A63" s="245" t="s">
        <v>53</v>
      </c>
      <c r="B63" s="249" t="s">
        <v>207</v>
      </c>
      <c r="C63" s="246"/>
      <c r="D63" s="195">
        <v>0</v>
      </c>
    </row>
    <row r="64" spans="1:4">
      <c r="A64" s="245" t="s">
        <v>55</v>
      </c>
      <c r="B64" s="266" t="s">
        <v>208</v>
      </c>
      <c r="C64" s="265"/>
      <c r="D64" s="195">
        <v>0</v>
      </c>
    </row>
    <row r="65" spans="1:4">
      <c r="A65" s="245" t="s">
        <v>58</v>
      </c>
      <c r="D65" s="251">
        <f>TRUNC((SUM(D59:D64)),2)</f>
        <v>633.66</v>
      </c>
    </row>
    <row r="66" spans="1:4">
      <c r="A66" s="245"/>
      <c r="D66" s="251"/>
    </row>
    <row r="67" spans="1:4">
      <c r="A67" s="244" t="s">
        <v>105</v>
      </c>
      <c r="B67" s="244"/>
      <c r="C67" s="244"/>
      <c r="D67" s="244"/>
    </row>
    <row r="68" spans="1:4">
      <c r="A68" s="245" t="s">
        <v>106</v>
      </c>
      <c r="B68" s="249" t="s">
        <v>107</v>
      </c>
      <c r="C68" s="245" t="s">
        <v>18</v>
      </c>
      <c r="D68" s="245" t="s">
        <v>19</v>
      </c>
    </row>
    <row r="69" spans="1:4">
      <c r="A69" s="245" t="s">
        <v>65</v>
      </c>
      <c r="B69" t="s">
        <v>66</v>
      </c>
      <c r="C69" s="245"/>
      <c r="D69" s="251">
        <f>D39</f>
        <v>511.19</v>
      </c>
    </row>
    <row r="70" spans="1:4">
      <c r="A70" s="245" t="s">
        <v>78</v>
      </c>
      <c r="B70" t="s">
        <v>79</v>
      </c>
      <c r="C70" s="245"/>
      <c r="D70" s="251">
        <f>D55</f>
        <v>1249.77</v>
      </c>
    </row>
    <row r="71" spans="1:4">
      <c r="A71" s="245" t="s">
        <v>96</v>
      </c>
      <c r="B71" t="s">
        <v>97</v>
      </c>
      <c r="C71" s="245"/>
      <c r="D71" s="251">
        <f>D65</f>
        <v>633.66</v>
      </c>
    </row>
    <row r="72" spans="1:4">
      <c r="A72" s="245" t="s">
        <v>58</v>
      </c>
      <c r="C72" s="245"/>
      <c r="D72" s="251">
        <f>TRUNC(SUM(D69:D71),2)</f>
        <v>2394.62</v>
      </c>
    </row>
    <row r="74" spans="1:4">
      <c r="A74" s="228" t="s">
        <v>108</v>
      </c>
      <c r="B74" s="228"/>
      <c r="C74" s="228"/>
      <c r="D74" s="228"/>
    </row>
    <row r="75" spans="1:4">
      <c r="A75" s="245" t="s">
        <v>109</v>
      </c>
      <c r="B75" s="249" t="s">
        <v>110</v>
      </c>
      <c r="C75" s="245" t="s">
        <v>38</v>
      </c>
      <c r="D75" s="245" t="s">
        <v>19</v>
      </c>
    </row>
    <row r="76" spans="1:4">
      <c r="A76" s="245" t="s">
        <v>42</v>
      </c>
      <c r="B76" t="s">
        <v>111</v>
      </c>
      <c r="C76" s="261">
        <f>((1/12)*5%)</f>
        <v>0.00416666666666667</v>
      </c>
      <c r="D76" s="195">
        <f>TRUNC(($D$31*C76),2)</f>
        <v>10.95</v>
      </c>
    </row>
    <row r="77" spans="1:4">
      <c r="A77" s="245" t="s">
        <v>45</v>
      </c>
      <c r="B77" t="s">
        <v>112</v>
      </c>
      <c r="C77" s="267">
        <v>0.08</v>
      </c>
      <c r="D77" s="251">
        <f>TRUNC(($D$76*C77),2)</f>
        <v>0.87</v>
      </c>
    </row>
    <row r="78" ht="30" spans="1:4">
      <c r="A78" s="245" t="s">
        <v>48</v>
      </c>
      <c r="B78" s="268" t="s">
        <v>113</v>
      </c>
      <c r="C78" s="269">
        <f>(0.08*0.4*0.05)</f>
        <v>0.0016</v>
      </c>
      <c r="D78" s="265">
        <f>TRUNC(($D$31*C78),2)</f>
        <v>4.2</v>
      </c>
    </row>
    <row r="79" spans="1:4">
      <c r="A79" s="245" t="s">
        <v>50</v>
      </c>
      <c r="B79" t="s">
        <v>114</v>
      </c>
      <c r="C79" s="270">
        <f>(((7/30)/12)*0.95)</f>
        <v>0.0184722222222222</v>
      </c>
      <c r="D79" s="271">
        <f>TRUNC(($D$31*C79),2)</f>
        <v>48.56</v>
      </c>
    </row>
    <row r="80" ht="30" spans="1:4">
      <c r="A80" s="245" t="s">
        <v>53</v>
      </c>
      <c r="B80" s="268" t="s">
        <v>209</v>
      </c>
      <c r="C80" s="269">
        <f>C55</f>
        <v>0.398</v>
      </c>
      <c r="D80" s="265">
        <f>TRUNC(($D$79*C80),2)</f>
        <v>19.32</v>
      </c>
    </row>
    <row r="81" ht="30" spans="1:4">
      <c r="A81" s="245" t="s">
        <v>55</v>
      </c>
      <c r="B81" s="268" t="s">
        <v>115</v>
      </c>
      <c r="C81" s="269">
        <f>(0.08*0.4*0.95)</f>
        <v>0.0304</v>
      </c>
      <c r="D81" s="265">
        <f>TRUNC(($D$31*C81),2)</f>
        <v>79.92</v>
      </c>
    </row>
    <row r="82" spans="1:4">
      <c r="A82" s="245" t="s">
        <v>58</v>
      </c>
      <c r="C82" s="267">
        <f>SUM(C76:C81)</f>
        <v>0.532638888888889</v>
      </c>
      <c r="D82" s="251">
        <f>TRUNC((SUM(D76:D81)),2)</f>
        <v>163.82</v>
      </c>
    </row>
    <row r="83" ht="15.75" spans="1:4">
      <c r="A83" s="245"/>
      <c r="D83" s="251"/>
    </row>
    <row r="84" ht="16.5" spans="1:4">
      <c r="A84" s="255" t="s">
        <v>210</v>
      </c>
      <c r="B84" s="255"/>
      <c r="C84" s="256" t="s">
        <v>202</v>
      </c>
      <c r="D84" s="257">
        <f>D31</f>
        <v>2629</v>
      </c>
    </row>
    <row r="85" ht="16.5" spans="1:4">
      <c r="A85" s="255"/>
      <c r="B85" s="255"/>
      <c r="C85" s="258" t="s">
        <v>211</v>
      </c>
      <c r="D85" s="257">
        <f>D72</f>
        <v>2394.62</v>
      </c>
    </row>
    <row r="86" ht="16.5" spans="1:4">
      <c r="A86" s="255"/>
      <c r="B86" s="255"/>
      <c r="C86" s="256" t="s">
        <v>212</v>
      </c>
      <c r="D86" s="257">
        <f>D82</f>
        <v>163.82</v>
      </c>
    </row>
    <row r="87" ht="16.5" spans="1:4">
      <c r="A87" s="255"/>
      <c r="B87" s="255"/>
      <c r="C87" s="258" t="s">
        <v>204</v>
      </c>
      <c r="D87" s="259">
        <f>TRUNC((SUM(D84:D86)),2)</f>
        <v>5187.44</v>
      </c>
    </row>
    <row r="88" ht="15.75" spans="1:4">
      <c r="A88" s="245"/>
      <c r="D88" s="251"/>
    </row>
    <row r="89" spans="1:4">
      <c r="A89" s="272" t="s">
        <v>127</v>
      </c>
      <c r="B89" s="272"/>
      <c r="C89" s="272"/>
      <c r="D89" s="272"/>
    </row>
    <row r="90" spans="1:4">
      <c r="A90" s="244" t="s">
        <v>128</v>
      </c>
      <c r="B90" s="244"/>
      <c r="C90" s="244"/>
      <c r="D90" s="244"/>
    </row>
    <row r="91" spans="1:4">
      <c r="A91" s="245" t="s">
        <v>129</v>
      </c>
      <c r="B91" s="249" t="s">
        <v>130</v>
      </c>
      <c r="C91" s="245" t="s">
        <v>38</v>
      </c>
      <c r="D91" s="245" t="s">
        <v>19</v>
      </c>
    </row>
    <row r="92" spans="1:4">
      <c r="A92" s="245" t="s">
        <v>42</v>
      </c>
      <c r="B92" t="s">
        <v>213</v>
      </c>
      <c r="C92" s="267">
        <f>(((1+1/3)/12)/12)+((1/12)/12)</f>
        <v>0.0162037037037037</v>
      </c>
      <c r="D92" s="251">
        <f>TRUNC(($D$87*C92),2)</f>
        <v>84.05</v>
      </c>
    </row>
    <row r="93" spans="1:4">
      <c r="A93" s="245" t="s">
        <v>45</v>
      </c>
      <c r="B93" t="s">
        <v>133</v>
      </c>
      <c r="C93" s="261">
        <f>((2/30)/12)</f>
        <v>0.00555555555555556</v>
      </c>
      <c r="D93" s="265">
        <f t="shared" ref="D92:D96" si="1">TRUNC(($D$87*C93),2)</f>
        <v>28.81</v>
      </c>
    </row>
    <row r="94" spans="1:4">
      <c r="A94" s="245" t="s">
        <v>48</v>
      </c>
      <c r="B94" t="s">
        <v>134</v>
      </c>
      <c r="C94" s="261">
        <f>((5/30)/12)*0.02</f>
        <v>0.000277777777777778</v>
      </c>
      <c r="D94" s="265">
        <f t="shared" si="1"/>
        <v>1.44</v>
      </c>
    </row>
    <row r="95" ht="30" spans="1:4">
      <c r="A95" s="263" t="s">
        <v>50</v>
      </c>
      <c r="B95" s="268" t="s">
        <v>135</v>
      </c>
      <c r="C95" s="269">
        <f>((15/30)/12)*0.08</f>
        <v>0.00333333333333333</v>
      </c>
      <c r="D95" s="265">
        <f t="shared" si="1"/>
        <v>17.29</v>
      </c>
    </row>
    <row r="96" spans="1:4">
      <c r="A96" s="245" t="s">
        <v>53</v>
      </c>
      <c r="B96" t="s">
        <v>136</v>
      </c>
      <c r="C96" s="261">
        <f>((1+1/3)/12)*0.03*((4/12))</f>
        <v>0.00111111111111111</v>
      </c>
      <c r="D96" s="265">
        <f t="shared" si="1"/>
        <v>5.76</v>
      </c>
    </row>
    <row r="97" ht="30" spans="1:4">
      <c r="A97" s="245" t="s">
        <v>55</v>
      </c>
      <c r="B97" s="268" t="s">
        <v>214</v>
      </c>
      <c r="C97" s="273">
        <v>0</v>
      </c>
      <c r="D97" s="265">
        <f>TRUNC($D$87*C97)</f>
        <v>0</v>
      </c>
    </row>
    <row r="98" spans="1:4">
      <c r="A98" s="245" t="s">
        <v>58</v>
      </c>
      <c r="C98" s="267">
        <f>SUM(C92:C97)</f>
        <v>0.0264814814814815</v>
      </c>
      <c r="D98" s="251">
        <f>TRUNC((SUM(D92:D97)),2)</f>
        <v>137.35</v>
      </c>
    </row>
    <row r="99" spans="1:4">
      <c r="A99" s="245"/>
      <c r="C99" s="245"/>
      <c r="D99" s="251"/>
    </row>
    <row r="100" spans="1:4">
      <c r="A100" s="244" t="s">
        <v>144</v>
      </c>
      <c r="B100" s="244"/>
      <c r="C100" s="244"/>
      <c r="D100" s="244"/>
    </row>
    <row r="101" spans="1:4">
      <c r="A101" s="245" t="s">
        <v>145</v>
      </c>
      <c r="B101" s="249" t="s">
        <v>146</v>
      </c>
      <c r="C101" s="245" t="s">
        <v>18</v>
      </c>
      <c r="D101" s="245" t="s">
        <v>19</v>
      </c>
    </row>
    <row r="102" ht="105" spans="1:4">
      <c r="A102" s="263" t="s">
        <v>42</v>
      </c>
      <c r="B102" s="274" t="s">
        <v>147</v>
      </c>
      <c r="C102" s="205" t="s">
        <v>215</v>
      </c>
      <c r="D102" s="206" t="s">
        <v>216</v>
      </c>
    </row>
    <row r="103" spans="1:4">
      <c r="A103" s="245" t="s">
        <v>58</v>
      </c>
      <c r="C103" s="275"/>
      <c r="D103" s="207" t="str">
        <f>D102</f>
        <v>*=TRUNCAR(($D$86/220)*(1*(365/12))/2)</v>
      </c>
    </row>
    <row r="105" spans="1:4">
      <c r="A105" s="244" t="s">
        <v>148</v>
      </c>
      <c r="B105" s="244"/>
      <c r="C105" s="244"/>
      <c r="D105" s="244"/>
    </row>
    <row r="106" spans="1:4">
      <c r="A106" s="245" t="s">
        <v>149</v>
      </c>
      <c r="B106" s="249" t="s">
        <v>150</v>
      </c>
      <c r="C106" s="245" t="s">
        <v>18</v>
      </c>
      <c r="D106" s="245" t="s">
        <v>19</v>
      </c>
    </row>
    <row r="107" spans="1:4">
      <c r="A107" s="245" t="s">
        <v>129</v>
      </c>
      <c r="B107" t="s">
        <v>130</v>
      </c>
      <c r="D107" s="195">
        <f>D98</f>
        <v>137.35</v>
      </c>
    </row>
    <row r="108" spans="1:4">
      <c r="A108" s="245" t="s">
        <v>145</v>
      </c>
      <c r="B108" t="s">
        <v>151</v>
      </c>
      <c r="C108" s="249"/>
      <c r="D108" s="276" t="str">
        <f>Submódulo4.260_81[[#Totals],[Valor]]</f>
        <v>*=TRUNCAR(($D$86/220)*(1*(365/12))/2)</v>
      </c>
    </row>
    <row r="109" ht="75" spans="1:4">
      <c r="A109" s="263" t="s">
        <v>58</v>
      </c>
      <c r="B109" s="264"/>
      <c r="C109" s="205" t="s">
        <v>217</v>
      </c>
      <c r="D109" s="277">
        <f>TRUNC((SUM(D107:D108)),2)</f>
        <v>137.35</v>
      </c>
    </row>
    <row r="111" spans="1:4">
      <c r="A111" s="228" t="s">
        <v>152</v>
      </c>
      <c r="B111" s="228"/>
      <c r="C111" s="228"/>
      <c r="D111" s="228"/>
    </row>
    <row r="112" spans="1:4">
      <c r="A112" s="245" t="s">
        <v>153</v>
      </c>
      <c r="B112" s="249" t="s">
        <v>154</v>
      </c>
      <c r="C112" s="245" t="s">
        <v>18</v>
      </c>
      <c r="D112" s="245" t="s">
        <v>19</v>
      </c>
    </row>
    <row r="113" spans="1:4">
      <c r="A113" s="245" t="s">
        <v>42</v>
      </c>
      <c r="B113" t="s">
        <v>218</v>
      </c>
      <c r="D113" s="178">
        <f>Uniformes!G91</f>
        <v>100.5</v>
      </c>
    </row>
    <row r="114" spans="1:4">
      <c r="A114" s="245" t="s">
        <v>45</v>
      </c>
      <c r="B114" t="s">
        <v>219</v>
      </c>
      <c r="D114" s="178">
        <f>EPC!E21</f>
        <v>8.44</v>
      </c>
    </row>
    <row r="115" spans="1:4">
      <c r="A115" s="245" t="s">
        <v>48</v>
      </c>
      <c r="B115" t="s">
        <v>156</v>
      </c>
      <c r="D115" s="178">
        <v>0</v>
      </c>
    </row>
    <row r="116" spans="1:4">
      <c r="A116" s="245" t="s">
        <v>50</v>
      </c>
      <c r="B116" t="s">
        <v>157</v>
      </c>
      <c r="D116" s="178">
        <v>0</v>
      </c>
    </row>
    <row r="117" spans="1:4">
      <c r="A117" s="245" t="s">
        <v>53</v>
      </c>
      <c r="B117" t="s">
        <v>220</v>
      </c>
      <c r="D117" s="178">
        <f>H116</f>
        <v>0</v>
      </c>
    </row>
    <row r="118" spans="1:4">
      <c r="A118" s="245" t="s">
        <v>58</v>
      </c>
      <c r="D118" s="181">
        <f>TRUNC(SUM(D113:D117),2)</f>
        <v>108.94</v>
      </c>
    </row>
    <row r="119" ht="15.75"/>
    <row r="120" ht="16.5" spans="1:4">
      <c r="A120" s="255" t="s">
        <v>221</v>
      </c>
      <c r="B120" s="255"/>
      <c r="C120" s="256" t="s">
        <v>202</v>
      </c>
      <c r="D120" s="257">
        <f>D31</f>
        <v>2629</v>
      </c>
    </row>
    <row r="121" ht="16.5" spans="1:4">
      <c r="A121" s="255"/>
      <c r="B121" s="255"/>
      <c r="C121" s="258" t="s">
        <v>211</v>
      </c>
      <c r="D121" s="257">
        <f>D72</f>
        <v>2394.62</v>
      </c>
    </row>
    <row r="122" ht="16.5" spans="1:4">
      <c r="A122" s="255"/>
      <c r="B122" s="255"/>
      <c r="C122" s="256" t="s">
        <v>212</v>
      </c>
      <c r="D122" s="257">
        <f>D82</f>
        <v>163.82</v>
      </c>
    </row>
    <row r="123" ht="16.5" spans="1:4">
      <c r="A123" s="255"/>
      <c r="B123" s="255"/>
      <c r="C123" s="258" t="s">
        <v>222</v>
      </c>
      <c r="D123" s="257">
        <f>D109</f>
        <v>137.35</v>
      </c>
    </row>
    <row r="124" ht="16.5" spans="1:4">
      <c r="A124" s="255"/>
      <c r="B124" s="255"/>
      <c r="C124" s="256" t="s">
        <v>223</v>
      </c>
      <c r="D124" s="257">
        <f>D118</f>
        <v>108.94</v>
      </c>
    </row>
    <row r="125" ht="16.5" spans="1:4">
      <c r="A125" s="255"/>
      <c r="B125" s="255"/>
      <c r="C125" s="258" t="s">
        <v>204</v>
      </c>
      <c r="D125" s="259">
        <f>TRUNC((SUM(D120:D124)),2)</f>
        <v>5433.73</v>
      </c>
    </row>
    <row r="126" ht="15.75"/>
    <row r="127" spans="1:4">
      <c r="A127" s="228" t="s">
        <v>164</v>
      </c>
      <c r="B127" s="228"/>
      <c r="C127" s="228"/>
      <c r="D127" s="228"/>
    </row>
    <row r="128" ht="15.75" spans="1:7">
      <c r="A128" s="245" t="s">
        <v>165</v>
      </c>
      <c r="B128" t="s">
        <v>166</v>
      </c>
      <c r="C128" s="245" t="s">
        <v>38</v>
      </c>
      <c r="D128" s="245" t="s">
        <v>19</v>
      </c>
      <c r="F128" s="278" t="s">
        <v>224</v>
      </c>
      <c r="G128" s="278"/>
    </row>
    <row r="129" ht="15.75" spans="1:7">
      <c r="A129" s="245" t="s">
        <v>42</v>
      </c>
      <c r="B129" t="s">
        <v>167</v>
      </c>
      <c r="C129" s="191">
        <v>0.044</v>
      </c>
      <c r="D129" s="178">
        <f>TRUNC(($D$125*C129),2)</f>
        <v>239.08</v>
      </c>
      <c r="F129" s="279" t="s">
        <v>225</v>
      </c>
      <c r="G129" s="269">
        <f>C131</f>
        <v>0.0865</v>
      </c>
    </row>
    <row r="130" ht="15.75" spans="1:7">
      <c r="A130" s="245" t="s">
        <v>45</v>
      </c>
      <c r="B130" t="s">
        <v>59</v>
      </c>
      <c r="C130" s="191">
        <v>0.0413</v>
      </c>
      <c r="D130" s="178">
        <f>TRUNC((C130*(D125+D129)),2)</f>
        <v>234.28</v>
      </c>
      <c r="F130" s="280" t="s">
        <v>226</v>
      </c>
      <c r="G130" s="281">
        <f>TRUNC(SUM(D125,D129,D130),2)</f>
        <v>5907.09</v>
      </c>
    </row>
    <row r="131" ht="15.75" spans="1:7">
      <c r="A131" s="245" t="s">
        <v>48</v>
      </c>
      <c r="B131" t="s">
        <v>168</v>
      </c>
      <c r="C131" s="191">
        <f>SUM(C132:C134)</f>
        <v>0.0865</v>
      </c>
      <c r="D131" s="178">
        <f>TRUNC((SUM(D132:D134)),2)</f>
        <v>559.34</v>
      </c>
      <c r="F131" s="279" t="s">
        <v>227</v>
      </c>
      <c r="G131" s="282">
        <f>(100-8.65)/100</f>
        <v>0.9135</v>
      </c>
    </row>
    <row r="132" ht="15.75" spans="1:7">
      <c r="A132" s="245"/>
      <c r="B132" t="s">
        <v>228</v>
      </c>
      <c r="C132" s="261">
        <v>0.0065</v>
      </c>
      <c r="D132" s="195">
        <f>TRUNC(($G$132*C132),2)</f>
        <v>42.03</v>
      </c>
      <c r="F132" s="280" t="s">
        <v>224</v>
      </c>
      <c r="G132" s="281">
        <f>TRUNC((G130/G131),2)</f>
        <v>6466.43</v>
      </c>
    </row>
    <row r="133" ht="15.75" spans="1:4">
      <c r="A133" s="245"/>
      <c r="B133" t="s">
        <v>229</v>
      </c>
      <c r="C133" s="261">
        <v>0.03</v>
      </c>
      <c r="D133" s="195">
        <f>TRUNC(($G$132*C133),2)</f>
        <v>193.99</v>
      </c>
    </row>
    <row r="134" spans="1:4">
      <c r="A134" s="245"/>
      <c r="B134" t="s">
        <v>230</v>
      </c>
      <c r="C134" s="261">
        <v>0.05</v>
      </c>
      <c r="D134" s="195">
        <f t="shared" ref="D132:D134" si="2">TRUNC(($G$132*C134),2)</f>
        <v>323.32</v>
      </c>
    </row>
    <row r="135" spans="1:4">
      <c r="A135" s="245" t="s">
        <v>58</v>
      </c>
      <c r="C135" s="283"/>
      <c r="D135" s="251">
        <f>TRUNC(SUM(D129:D131),2)</f>
        <v>1032.7</v>
      </c>
    </row>
    <row r="136" spans="1:4">
      <c r="A136" s="245"/>
      <c r="C136" s="283"/>
      <c r="D136" s="251"/>
    </row>
    <row r="138" spans="1:4">
      <c r="A138" s="228" t="s">
        <v>172</v>
      </c>
      <c r="B138" s="228"/>
      <c r="C138" s="228"/>
      <c r="D138" s="228"/>
    </row>
    <row r="139" spans="1:4">
      <c r="A139" s="245" t="s">
        <v>16</v>
      </c>
      <c r="B139" s="245" t="s">
        <v>173</v>
      </c>
      <c r="C139" s="245" t="s">
        <v>102</v>
      </c>
      <c r="D139" s="245" t="s">
        <v>19</v>
      </c>
    </row>
    <row r="140" spans="1:4">
      <c r="A140" s="245" t="s">
        <v>42</v>
      </c>
      <c r="B140" t="s">
        <v>36</v>
      </c>
      <c r="D140" s="251">
        <f>D31</f>
        <v>2629</v>
      </c>
    </row>
    <row r="141" spans="1:4">
      <c r="A141" s="245" t="s">
        <v>45</v>
      </c>
      <c r="B141" t="s">
        <v>61</v>
      </c>
      <c r="D141" s="251">
        <f>D72</f>
        <v>2394.62</v>
      </c>
    </row>
    <row r="142" spans="1:4">
      <c r="A142" s="245" t="s">
        <v>48</v>
      </c>
      <c r="B142" t="s">
        <v>108</v>
      </c>
      <c r="D142" s="251">
        <f>D82</f>
        <v>163.82</v>
      </c>
    </row>
    <row r="143" spans="1:4">
      <c r="A143" s="245" t="s">
        <v>50</v>
      </c>
      <c r="B143" t="s">
        <v>174</v>
      </c>
      <c r="D143" s="251">
        <f>D109</f>
        <v>137.35</v>
      </c>
    </row>
    <row r="144" spans="1:4">
      <c r="A144" s="245" t="s">
        <v>53</v>
      </c>
      <c r="B144" t="s">
        <v>152</v>
      </c>
      <c r="D144" s="251">
        <f>D118</f>
        <v>108.94</v>
      </c>
    </row>
    <row r="145" spans="2:4">
      <c r="B145" s="284" t="s">
        <v>175</v>
      </c>
      <c r="D145" s="251">
        <f>TRUNC(SUM(D140:D144),2)</f>
        <v>5433.73</v>
      </c>
    </row>
    <row r="146" spans="1:4">
      <c r="A146" s="245" t="s">
        <v>55</v>
      </c>
      <c r="B146" t="s">
        <v>164</v>
      </c>
      <c r="D146" s="251">
        <f>D135</f>
        <v>1032.7</v>
      </c>
    </row>
    <row r="147" spans="1:4">
      <c r="A147" s="285"/>
      <c r="B147" s="286" t="s">
        <v>231</v>
      </c>
      <c r="C147" s="285"/>
      <c r="D147" s="287">
        <f>TRUNC((SUM(D140:D144)+D146),2)</f>
        <v>6466.43</v>
      </c>
    </row>
    <row r="149" spans="1:1">
      <c r="A149" t="s">
        <v>244</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5"/>
  <sheetViews>
    <sheetView zoomScale="90" zoomScaleNormal="90" topLeftCell="A126" workbookViewId="0">
      <selection activeCell="A2" sqref="A2:D147"/>
    </sheetView>
  </sheetViews>
  <sheetFormatPr defaultColWidth="9.14285714285714" defaultRowHeight="15" outlineLevelCol="6"/>
  <cols>
    <col min="1" max="1" width="10.7333333333333" customWidth="1"/>
    <col min="2" max="2" width="51.9714285714286" customWidth="1"/>
    <col min="3" max="3" width="27.7714285714286" customWidth="1"/>
    <col min="4" max="4" width="30.7428571428571" customWidth="1"/>
    <col min="6" max="6" width="22.8571428571429" customWidth="1"/>
    <col min="7" max="7" width="12.8571428571429" customWidth="1"/>
    <col min="8" max="8" width="10" customWidth="1"/>
    <col min="9" max="9" width="11.4285714285714" customWidth="1"/>
  </cols>
  <sheetData>
    <row r="1" spans="1:7">
      <c r="A1" s="22"/>
      <c r="B1" s="22"/>
      <c r="C1" s="22"/>
      <c r="D1" s="22"/>
      <c r="E1" s="22"/>
      <c r="F1" s="22"/>
      <c r="G1" s="22"/>
    </row>
    <row r="2" ht="19.5" spans="1:7">
      <c r="A2" s="152" t="s">
        <v>177</v>
      </c>
      <c r="B2" s="152"/>
      <c r="C2" s="152"/>
      <c r="D2" s="152"/>
      <c r="E2" s="22"/>
      <c r="F2" s="22"/>
      <c r="G2" s="22"/>
    </row>
    <row r="3" ht="15.75" spans="1:7">
      <c r="A3" s="153" t="s">
        <v>245</v>
      </c>
      <c r="B3" s="153"/>
      <c r="C3" s="153"/>
      <c r="D3" s="153"/>
      <c r="E3" s="22"/>
      <c r="F3" s="22"/>
      <c r="G3" s="22"/>
    </row>
    <row r="4" spans="1:7">
      <c r="A4" s="154" t="s">
        <v>179</v>
      </c>
      <c r="B4" s="155" t="s">
        <v>180</v>
      </c>
      <c r="C4" s="156"/>
      <c r="D4" s="156"/>
      <c r="E4" s="22"/>
      <c r="F4" s="22"/>
      <c r="G4" s="22"/>
    </row>
    <row r="5" spans="1:7">
      <c r="A5" s="157"/>
      <c r="B5" s="158"/>
      <c r="C5" s="158"/>
      <c r="D5" s="158"/>
      <c r="E5" s="22"/>
      <c r="F5" s="22"/>
      <c r="G5" s="22"/>
    </row>
    <row r="6" ht="15.75" spans="1:7">
      <c r="A6" s="159" t="s">
        <v>181</v>
      </c>
      <c r="B6" s="159"/>
      <c r="C6" s="159"/>
      <c r="D6" s="159"/>
      <c r="E6" s="22"/>
      <c r="F6" s="22"/>
      <c r="G6" s="22"/>
    </row>
    <row r="7" ht="15.75" spans="1:7">
      <c r="A7" s="160" t="s">
        <v>42</v>
      </c>
      <c r="B7" s="161" t="s">
        <v>182</v>
      </c>
      <c r="C7" s="162" t="s">
        <v>183</v>
      </c>
      <c r="D7" s="162"/>
      <c r="E7" s="22"/>
      <c r="F7" s="22"/>
      <c r="G7" s="22"/>
    </row>
    <row r="8" spans="1:7">
      <c r="A8" s="163" t="s">
        <v>45</v>
      </c>
      <c r="B8" s="164" t="s">
        <v>184</v>
      </c>
      <c r="C8" s="165" t="s">
        <v>185</v>
      </c>
      <c r="D8" s="165"/>
      <c r="E8" s="22"/>
      <c r="F8" s="22"/>
      <c r="G8" s="22"/>
    </row>
    <row r="9" spans="1:7">
      <c r="A9" s="166" t="s">
        <v>48</v>
      </c>
      <c r="B9" s="167" t="s">
        <v>186</v>
      </c>
      <c r="C9" s="165" t="s">
        <v>246</v>
      </c>
      <c r="D9" s="165"/>
      <c r="E9" s="22"/>
      <c r="F9" s="22"/>
      <c r="G9" s="22"/>
    </row>
    <row r="10" spans="1:7">
      <c r="A10" s="163" t="s">
        <v>53</v>
      </c>
      <c r="B10" s="164" t="s">
        <v>188</v>
      </c>
      <c r="C10" s="165" t="s">
        <v>189</v>
      </c>
      <c r="D10" s="165"/>
      <c r="E10" s="22"/>
      <c r="F10" s="22"/>
      <c r="G10" s="22"/>
    </row>
    <row r="11" ht="15.75" spans="1:7">
      <c r="A11" s="168" t="s">
        <v>190</v>
      </c>
      <c r="B11" s="168"/>
      <c r="C11" s="168"/>
      <c r="D11" s="168"/>
      <c r="E11" s="22"/>
      <c r="F11" s="22"/>
      <c r="G11" s="22"/>
    </row>
    <row r="12" ht="16.5" spans="1:7">
      <c r="A12" s="169" t="s">
        <v>191</v>
      </c>
      <c r="B12" s="169"/>
      <c r="C12" s="168" t="s">
        <v>192</v>
      </c>
      <c r="D12" s="170" t="s">
        <v>193</v>
      </c>
      <c r="E12" s="22"/>
      <c r="F12" s="22"/>
      <c r="G12" s="22"/>
    </row>
    <row r="13" ht="15.75" spans="1:7">
      <c r="A13" s="171" t="s">
        <v>247</v>
      </c>
      <c r="B13" s="171"/>
      <c r="C13" s="165" t="s">
        <v>195</v>
      </c>
      <c r="D13" s="172">
        <f>RESUMO!D7</f>
        <v>1</v>
      </c>
      <c r="E13" s="22"/>
      <c r="F13" s="22"/>
      <c r="G13" s="22"/>
    </row>
    <row r="14" spans="1:7">
      <c r="A14" s="173"/>
      <c r="B14" s="173"/>
      <c r="C14" s="165"/>
      <c r="D14" s="174"/>
      <c r="E14" s="22"/>
      <c r="F14" s="22"/>
      <c r="G14" s="22"/>
    </row>
    <row r="15" ht="15.75" spans="1:7">
      <c r="A15" s="168" t="s">
        <v>14</v>
      </c>
      <c r="B15" s="168"/>
      <c r="C15" s="168"/>
      <c r="D15" s="168"/>
      <c r="E15" s="22"/>
      <c r="F15" s="175"/>
      <c r="G15" s="175"/>
    </row>
    <row r="16" ht="15.75" spans="1:7">
      <c r="A16" s="176" t="s">
        <v>16</v>
      </c>
      <c r="B16" s="22" t="s">
        <v>17</v>
      </c>
      <c r="C16" s="176" t="s">
        <v>18</v>
      </c>
      <c r="D16" s="176" t="s">
        <v>19</v>
      </c>
      <c r="E16" s="22"/>
      <c r="F16" s="22"/>
      <c r="G16" s="22"/>
    </row>
    <row r="17" spans="1:7">
      <c r="A17" s="176">
        <v>1</v>
      </c>
      <c r="B17" s="22" t="s">
        <v>20</v>
      </c>
      <c r="C17" s="177" t="s">
        <v>102</v>
      </c>
      <c r="D17" s="177" t="str">
        <f>A13</f>
        <v>Eletricista</v>
      </c>
      <c r="E17" s="22"/>
      <c r="F17" s="22"/>
      <c r="G17" s="22"/>
    </row>
    <row r="18" spans="1:7">
      <c r="A18" s="176">
        <v>2</v>
      </c>
      <c r="B18" s="22" t="s">
        <v>23</v>
      </c>
      <c r="C18" s="177" t="s">
        <v>196</v>
      </c>
      <c r="D18" s="177" t="s">
        <v>248</v>
      </c>
      <c r="E18" s="22"/>
      <c r="F18" s="22"/>
      <c r="G18" s="22"/>
    </row>
    <row r="19" spans="1:7">
      <c r="A19" s="176">
        <v>3</v>
      </c>
      <c r="B19" s="22" t="s">
        <v>26</v>
      </c>
      <c r="C19" s="177" t="str">
        <f>C9</f>
        <v>CCT PB 000047/2021</v>
      </c>
      <c r="D19" s="178">
        <v>1528</v>
      </c>
      <c r="E19" s="22"/>
      <c r="F19" s="22"/>
      <c r="G19" s="22"/>
    </row>
    <row r="20" spans="1:7">
      <c r="A20" s="176">
        <v>4</v>
      </c>
      <c r="B20" s="22" t="s">
        <v>29</v>
      </c>
      <c r="C20" s="177" t="str">
        <f>C9</f>
        <v>CCT PB 000047/2021</v>
      </c>
      <c r="D20" s="177" t="s">
        <v>198</v>
      </c>
      <c r="E20" s="22"/>
      <c r="F20" s="22"/>
      <c r="G20" s="22"/>
    </row>
    <row r="21" spans="1:7">
      <c r="A21" s="176">
        <v>5</v>
      </c>
      <c r="B21" s="22" t="s">
        <v>33</v>
      </c>
      <c r="C21" s="177" t="str">
        <f>C9</f>
        <v>CCT PB 000047/2021</v>
      </c>
      <c r="D21" s="179" t="s">
        <v>199</v>
      </c>
      <c r="E21" s="22"/>
      <c r="F21" s="22"/>
      <c r="G21" s="22"/>
    </row>
    <row r="22" spans="1:7">
      <c r="A22" s="22"/>
      <c r="B22" s="22"/>
      <c r="C22" s="22"/>
      <c r="D22" s="22"/>
      <c r="E22" s="22"/>
      <c r="F22" s="175"/>
      <c r="G22" s="175"/>
    </row>
    <row r="23" spans="1:7">
      <c r="A23" s="159" t="s">
        <v>36</v>
      </c>
      <c r="B23" s="159"/>
      <c r="C23" s="159"/>
      <c r="D23" s="159"/>
      <c r="E23" s="22"/>
      <c r="F23" s="22"/>
      <c r="G23" s="22"/>
    </row>
    <row r="24" spans="1:7">
      <c r="A24" s="176" t="s">
        <v>39</v>
      </c>
      <c r="B24" s="22" t="s">
        <v>40</v>
      </c>
      <c r="C24" s="176" t="s">
        <v>18</v>
      </c>
      <c r="D24" s="176" t="s">
        <v>19</v>
      </c>
      <c r="E24" s="22"/>
      <c r="F24" s="22"/>
      <c r="G24" s="180"/>
    </row>
    <row r="25" spans="1:7">
      <c r="A25" s="176" t="s">
        <v>42</v>
      </c>
      <c r="B25" s="22" t="s">
        <v>43</v>
      </c>
      <c r="C25" s="177" t="s">
        <v>249</v>
      </c>
      <c r="D25" s="194">
        <f>D19</f>
        <v>1528</v>
      </c>
      <c r="E25" s="22"/>
      <c r="F25" s="22"/>
      <c r="G25" s="180"/>
    </row>
    <row r="26" ht="30" spans="1:7">
      <c r="A26" s="176" t="s">
        <v>45</v>
      </c>
      <c r="B26" s="22" t="s">
        <v>46</v>
      </c>
      <c r="C26" s="219" t="s">
        <v>250</v>
      </c>
      <c r="D26" s="194">
        <f>TRUNC((D25*30%),2)</f>
        <v>458.4</v>
      </c>
      <c r="E26" s="22"/>
      <c r="F26" s="22"/>
      <c r="G26" s="180"/>
    </row>
    <row r="27" spans="1:7">
      <c r="A27" s="176" t="s">
        <v>48</v>
      </c>
      <c r="B27" s="22" t="s">
        <v>49</v>
      </c>
      <c r="C27" s="177"/>
      <c r="D27" s="194">
        <v>0</v>
      </c>
      <c r="E27" s="22"/>
      <c r="F27" s="22"/>
      <c r="G27" s="22"/>
    </row>
    <row r="28" spans="1:7">
      <c r="A28" s="176" t="s">
        <v>50</v>
      </c>
      <c r="B28" s="22" t="s">
        <v>51</v>
      </c>
      <c r="C28" s="177"/>
      <c r="D28" s="194">
        <v>0</v>
      </c>
      <c r="E28" s="22"/>
      <c r="F28" s="22"/>
      <c r="G28" s="22"/>
    </row>
    <row r="29" spans="1:7">
      <c r="A29" s="176" t="s">
        <v>53</v>
      </c>
      <c r="B29" s="22" t="s">
        <v>54</v>
      </c>
      <c r="C29" s="177"/>
      <c r="D29" s="194">
        <v>0</v>
      </c>
      <c r="E29" s="22"/>
      <c r="F29" s="22"/>
      <c r="G29" s="22"/>
    </row>
    <row r="30" spans="1:7">
      <c r="A30" s="176" t="s">
        <v>55</v>
      </c>
      <c r="B30" s="22" t="s">
        <v>56</v>
      </c>
      <c r="C30" s="177"/>
      <c r="D30" s="194">
        <v>0</v>
      </c>
      <c r="E30" s="22"/>
      <c r="F30" s="22"/>
      <c r="G30" s="22"/>
    </row>
    <row r="31" spans="1:7">
      <c r="A31" s="176" t="s">
        <v>58</v>
      </c>
      <c r="B31" s="22"/>
      <c r="C31" s="176"/>
      <c r="D31" s="181">
        <f>TRUNC(SUM(D25:D30),2)</f>
        <v>1986.4</v>
      </c>
      <c r="E31" s="22"/>
      <c r="F31" s="175"/>
      <c r="G31" s="175"/>
    </row>
    <row r="32" spans="1:7">
      <c r="A32" s="22"/>
      <c r="B32" s="22"/>
      <c r="C32" s="22"/>
      <c r="D32" s="22"/>
      <c r="E32" s="22"/>
      <c r="F32" s="22"/>
      <c r="G32" s="22"/>
    </row>
    <row r="33" spans="1:7">
      <c r="A33" s="182" t="s">
        <v>61</v>
      </c>
      <c r="B33" s="182"/>
      <c r="C33" s="182"/>
      <c r="D33" s="182"/>
      <c r="E33" s="22"/>
      <c r="F33" s="22"/>
      <c r="G33" s="180"/>
    </row>
    <row r="34" spans="1:7">
      <c r="A34" s="22"/>
      <c r="B34" s="22"/>
      <c r="C34" s="22"/>
      <c r="D34" s="22"/>
      <c r="E34" s="22"/>
      <c r="F34" s="22"/>
      <c r="G34" s="22"/>
    </row>
    <row r="35" spans="1:7">
      <c r="A35" s="175" t="s">
        <v>63</v>
      </c>
      <c r="B35" s="175"/>
      <c r="C35" s="175"/>
      <c r="D35" s="175"/>
      <c r="E35" s="22"/>
      <c r="F35" s="22"/>
      <c r="G35" s="22"/>
    </row>
    <row r="36" spans="1:7">
      <c r="A36" s="176" t="s">
        <v>65</v>
      </c>
      <c r="B36" s="22" t="s">
        <v>66</v>
      </c>
      <c r="C36" s="176" t="s">
        <v>38</v>
      </c>
      <c r="D36" s="176" t="s">
        <v>19</v>
      </c>
      <c r="E36" s="22"/>
      <c r="F36" s="22"/>
      <c r="G36" s="22"/>
    </row>
    <row r="37" spans="1:7">
      <c r="A37" s="176" t="s">
        <v>42</v>
      </c>
      <c r="B37" s="22" t="s">
        <v>67</v>
      </c>
      <c r="C37" s="183">
        <f>(1/12)</f>
        <v>0.0833333333333333</v>
      </c>
      <c r="D37" s="181">
        <f>TRUNC($D$31*C37,2)</f>
        <v>165.53</v>
      </c>
      <c r="E37" s="22"/>
      <c r="F37" s="184"/>
      <c r="G37" s="184"/>
    </row>
    <row r="38" spans="1:7">
      <c r="A38" s="176" t="s">
        <v>45</v>
      </c>
      <c r="B38" s="22" t="s">
        <v>68</v>
      </c>
      <c r="C38" s="183">
        <f>(((1+1/3)/12))</f>
        <v>0.111111111111111</v>
      </c>
      <c r="D38" s="181">
        <f>TRUNC($D$31*C38,2)</f>
        <v>220.71</v>
      </c>
      <c r="E38" s="22"/>
      <c r="F38" s="184"/>
      <c r="G38" s="184"/>
    </row>
    <row r="39" spans="1:7">
      <c r="A39" s="176" t="s">
        <v>58</v>
      </c>
      <c r="B39" s="22"/>
      <c r="C39" s="22"/>
      <c r="D39" s="181">
        <f>TRUNC((SUM(D37:D38)),2)</f>
        <v>386.24</v>
      </c>
      <c r="E39" s="22"/>
      <c r="F39" s="184"/>
      <c r="G39" s="184"/>
    </row>
    <row r="40" ht="15.75" spans="1:7">
      <c r="A40" s="22"/>
      <c r="B40" s="22"/>
      <c r="C40" s="22"/>
      <c r="D40" s="181"/>
      <c r="E40" s="22"/>
      <c r="F40" s="184"/>
      <c r="G40" s="184"/>
    </row>
    <row r="41" ht="16.5" spans="1:7">
      <c r="A41" s="185" t="s">
        <v>201</v>
      </c>
      <c r="B41" s="185"/>
      <c r="C41" s="186" t="s">
        <v>202</v>
      </c>
      <c r="D41" s="187">
        <f>D31</f>
        <v>1986.4</v>
      </c>
      <c r="E41" s="22"/>
      <c r="F41" s="184"/>
      <c r="G41" s="184"/>
    </row>
    <row r="42" ht="16.5" spans="1:7">
      <c r="A42" s="185"/>
      <c r="B42" s="185"/>
      <c r="C42" s="188" t="s">
        <v>203</v>
      </c>
      <c r="D42" s="187">
        <f>D39</f>
        <v>386.24</v>
      </c>
      <c r="E42" s="22"/>
      <c r="F42" s="184"/>
      <c r="G42" s="184"/>
    </row>
    <row r="43" ht="16.5" spans="1:7">
      <c r="A43" s="185"/>
      <c r="B43" s="185"/>
      <c r="C43" s="186" t="s">
        <v>204</v>
      </c>
      <c r="D43" s="189">
        <f>TRUNC((SUM(D41:D42)),2)</f>
        <v>2372.64</v>
      </c>
      <c r="E43" s="22"/>
      <c r="F43" s="184"/>
      <c r="G43" s="184"/>
    </row>
    <row r="44" ht="15.75" spans="1:7">
      <c r="A44" s="176"/>
      <c r="B44" s="22"/>
      <c r="C44" s="190"/>
      <c r="D44" s="181"/>
      <c r="E44" s="22"/>
      <c r="F44" s="184"/>
      <c r="G44" s="184"/>
    </row>
    <row r="45" spans="1:7">
      <c r="A45" s="175" t="s">
        <v>77</v>
      </c>
      <c r="B45" s="175"/>
      <c r="C45" s="175"/>
      <c r="D45" s="175"/>
      <c r="E45" s="22"/>
      <c r="F45" s="22"/>
      <c r="G45" s="22"/>
    </row>
    <row r="46" spans="1:7">
      <c r="A46" s="176" t="s">
        <v>78</v>
      </c>
      <c r="B46" s="22" t="s">
        <v>79</v>
      </c>
      <c r="C46" s="176" t="s">
        <v>38</v>
      </c>
      <c r="D46" s="176" t="s">
        <v>80</v>
      </c>
      <c r="E46" s="22"/>
      <c r="F46" s="22"/>
      <c r="G46" s="22"/>
    </row>
    <row r="47" spans="1:7">
      <c r="A47" s="176" t="s">
        <v>42</v>
      </c>
      <c r="B47" s="22" t="s">
        <v>81</v>
      </c>
      <c r="C47" s="183">
        <v>0.2</v>
      </c>
      <c r="D47" s="181">
        <f t="shared" ref="D47:D54" si="0">TRUNC(($D$43*C47),2)</f>
        <v>474.52</v>
      </c>
      <c r="E47" s="22"/>
      <c r="F47" s="22"/>
      <c r="G47" s="22"/>
    </row>
    <row r="48" spans="1:7">
      <c r="A48" s="176" t="s">
        <v>45</v>
      </c>
      <c r="B48" s="22" t="s">
        <v>82</v>
      </c>
      <c r="C48" s="183">
        <v>0.025</v>
      </c>
      <c r="D48" s="181">
        <f t="shared" si="0"/>
        <v>59.31</v>
      </c>
      <c r="E48" s="22"/>
      <c r="F48" s="22"/>
      <c r="G48" s="22"/>
    </row>
    <row r="49" spans="1:7">
      <c r="A49" s="176" t="s">
        <v>48</v>
      </c>
      <c r="B49" s="22" t="s">
        <v>205</v>
      </c>
      <c r="C49" s="191">
        <v>0.06</v>
      </c>
      <c r="D49" s="178">
        <f t="shared" si="0"/>
        <v>142.35</v>
      </c>
      <c r="E49" s="22"/>
      <c r="F49" s="22"/>
      <c r="G49" s="22"/>
    </row>
    <row r="50" spans="1:7">
      <c r="A50" s="176" t="s">
        <v>50</v>
      </c>
      <c r="B50" s="22" t="s">
        <v>84</v>
      </c>
      <c r="C50" s="183">
        <v>0.015</v>
      </c>
      <c r="D50" s="181">
        <f t="shared" si="0"/>
        <v>35.58</v>
      </c>
      <c r="E50" s="22"/>
      <c r="F50" s="22"/>
      <c r="G50" s="22"/>
    </row>
    <row r="51" spans="1:7">
      <c r="A51" s="176" t="s">
        <v>53</v>
      </c>
      <c r="B51" s="22" t="s">
        <v>85</v>
      </c>
      <c r="C51" s="183">
        <v>0.01</v>
      </c>
      <c r="D51" s="181">
        <f t="shared" si="0"/>
        <v>23.72</v>
      </c>
      <c r="E51" s="22"/>
      <c r="F51" s="22"/>
      <c r="G51" s="22"/>
    </row>
    <row r="52" spans="1:7">
      <c r="A52" s="176" t="s">
        <v>55</v>
      </c>
      <c r="B52" s="22" t="s">
        <v>86</v>
      </c>
      <c r="C52" s="183">
        <v>0.006</v>
      </c>
      <c r="D52" s="181">
        <f t="shared" si="0"/>
        <v>14.23</v>
      </c>
      <c r="E52" s="22"/>
      <c r="F52" s="22"/>
      <c r="G52" s="22"/>
    </row>
    <row r="53" spans="1:7">
      <c r="A53" s="176" t="s">
        <v>87</v>
      </c>
      <c r="B53" s="22" t="s">
        <v>88</v>
      </c>
      <c r="C53" s="183">
        <v>0.002</v>
      </c>
      <c r="D53" s="181">
        <f t="shared" si="0"/>
        <v>4.74</v>
      </c>
      <c r="E53" s="22"/>
      <c r="F53" s="22"/>
      <c r="G53" s="22"/>
    </row>
    <row r="54" spans="1:7">
      <c r="A54" s="176" t="s">
        <v>89</v>
      </c>
      <c r="B54" s="22" t="s">
        <v>90</v>
      </c>
      <c r="C54" s="183">
        <v>0.08</v>
      </c>
      <c r="D54" s="181">
        <f t="shared" si="0"/>
        <v>189.81</v>
      </c>
      <c r="E54" s="22"/>
      <c r="F54" s="22"/>
      <c r="G54" s="22"/>
    </row>
    <row r="55" spans="1:7">
      <c r="A55" s="176" t="s">
        <v>58</v>
      </c>
      <c r="B55" s="22"/>
      <c r="C55" s="190">
        <f>SUM(C47:C54)</f>
        <v>0.398</v>
      </c>
      <c r="D55" s="181">
        <f>TRUNC((SUM(D47:D54)),2)</f>
        <v>944.26</v>
      </c>
      <c r="E55" s="22"/>
      <c r="F55" s="22"/>
      <c r="G55" s="22"/>
    </row>
    <row r="56" spans="1:7">
      <c r="A56" s="176"/>
      <c r="B56" s="22"/>
      <c r="C56" s="190"/>
      <c r="D56" s="181"/>
      <c r="E56" s="22"/>
      <c r="F56" s="22"/>
      <c r="G56" s="22"/>
    </row>
    <row r="57" spans="1:7">
      <c r="A57" s="175" t="s">
        <v>95</v>
      </c>
      <c r="B57" s="175"/>
      <c r="C57" s="175"/>
      <c r="D57" s="175"/>
      <c r="E57" s="22"/>
      <c r="F57" s="22"/>
      <c r="G57" s="22"/>
    </row>
    <row r="58" spans="1:7">
      <c r="A58" s="176" t="s">
        <v>96</v>
      </c>
      <c r="B58" s="22" t="s">
        <v>97</v>
      </c>
      <c r="C58" s="176" t="s">
        <v>18</v>
      </c>
      <c r="D58" s="176" t="s">
        <v>19</v>
      </c>
      <c r="E58" s="22"/>
      <c r="F58" s="22"/>
      <c r="G58" s="22"/>
    </row>
    <row r="59" spans="1:7">
      <c r="A59" s="176" t="s">
        <v>42</v>
      </c>
      <c r="B59" s="22" t="s">
        <v>98</v>
      </c>
      <c r="C59" s="177"/>
      <c r="D59" s="178">
        <f>TRUNC(((22*4.35)*2)-((D25/100)*6),2)</f>
        <v>99.72</v>
      </c>
      <c r="E59" s="22"/>
      <c r="F59" s="22"/>
      <c r="G59" s="22"/>
    </row>
    <row r="60" spans="1:7">
      <c r="A60" s="176" t="s">
        <v>45</v>
      </c>
      <c r="B60" s="22" t="s">
        <v>99</v>
      </c>
      <c r="C60" s="177" t="str">
        <f>C9</f>
        <v>CCT PB 000047/2021</v>
      </c>
      <c r="D60" s="178">
        <f>TRUNC((((22*18))-(((22*18))*0.2)),2)</f>
        <v>316.8</v>
      </c>
      <c r="E60" s="22"/>
      <c r="F60" s="22"/>
      <c r="G60" s="22"/>
    </row>
    <row r="61" spans="1:7">
      <c r="A61" s="176" t="s">
        <v>48</v>
      </c>
      <c r="B61" s="22" t="s">
        <v>100</v>
      </c>
      <c r="C61" s="177"/>
      <c r="D61" s="178">
        <v>0</v>
      </c>
      <c r="E61" s="22"/>
      <c r="F61" s="22"/>
      <c r="G61" s="22"/>
    </row>
    <row r="62" spans="1:7">
      <c r="A62" s="192" t="s">
        <v>50</v>
      </c>
      <c r="B62" s="193" t="s">
        <v>251</v>
      </c>
      <c r="C62" s="194"/>
      <c r="D62" s="194">
        <v>0</v>
      </c>
      <c r="E62" s="22"/>
      <c r="F62" s="193"/>
      <c r="G62" s="22"/>
    </row>
    <row r="63" spans="1:7">
      <c r="A63" s="176" t="s">
        <v>53</v>
      </c>
      <c r="B63" s="22" t="s">
        <v>207</v>
      </c>
      <c r="C63" s="177" t="str">
        <f>C9</f>
        <v>CCT PB 000047/2021</v>
      </c>
      <c r="D63" s="195">
        <v>15</v>
      </c>
      <c r="E63" s="22"/>
      <c r="F63" s="22"/>
      <c r="G63" s="22"/>
    </row>
    <row r="64" spans="1:7">
      <c r="A64" s="176" t="s">
        <v>55</v>
      </c>
      <c r="B64" s="196" t="s">
        <v>208</v>
      </c>
      <c r="C64" s="194" t="str">
        <f>C9</f>
        <v>CCT PB 000047/2021</v>
      </c>
      <c r="D64" s="195">
        <v>5</v>
      </c>
      <c r="E64" s="22"/>
      <c r="F64" s="22"/>
      <c r="G64" s="22"/>
    </row>
    <row r="65" spans="1:7">
      <c r="A65" s="176" t="s">
        <v>58</v>
      </c>
      <c r="B65" s="22"/>
      <c r="C65" s="22"/>
      <c r="D65" s="181">
        <f>TRUNC((SUM(D59:D64)),2)</f>
        <v>436.52</v>
      </c>
      <c r="E65" s="22"/>
      <c r="F65" s="22"/>
      <c r="G65" s="22"/>
    </row>
    <row r="66" spans="1:7">
      <c r="A66" s="176"/>
      <c r="B66" s="22"/>
      <c r="C66" s="22"/>
      <c r="D66" s="181"/>
      <c r="E66" s="22"/>
      <c r="F66" s="22"/>
      <c r="G66" s="22"/>
    </row>
    <row r="67" spans="1:7">
      <c r="A67" s="175" t="s">
        <v>105</v>
      </c>
      <c r="B67" s="175"/>
      <c r="C67" s="175"/>
      <c r="D67" s="175"/>
      <c r="E67" s="22"/>
      <c r="F67" s="22"/>
      <c r="G67" s="22"/>
    </row>
    <row r="68" spans="1:7">
      <c r="A68" s="176" t="s">
        <v>106</v>
      </c>
      <c r="B68" s="22" t="s">
        <v>107</v>
      </c>
      <c r="C68" s="176" t="s">
        <v>18</v>
      </c>
      <c r="D68" s="176" t="s">
        <v>19</v>
      </c>
      <c r="E68" s="22"/>
      <c r="F68" s="22"/>
      <c r="G68" s="22"/>
    </row>
    <row r="69" spans="1:7">
      <c r="A69" s="176" t="s">
        <v>65</v>
      </c>
      <c r="B69" s="22" t="s">
        <v>66</v>
      </c>
      <c r="C69" s="176"/>
      <c r="D69" s="181">
        <f>D39</f>
        <v>386.24</v>
      </c>
      <c r="E69" s="22"/>
      <c r="F69" s="22"/>
      <c r="G69" s="22"/>
    </row>
    <row r="70" spans="1:7">
      <c r="A70" s="176" t="s">
        <v>78</v>
      </c>
      <c r="B70" s="22" t="s">
        <v>79</v>
      </c>
      <c r="C70" s="176"/>
      <c r="D70" s="181">
        <f>D55</f>
        <v>944.26</v>
      </c>
      <c r="E70" s="22"/>
      <c r="F70" s="22"/>
      <c r="G70" s="22"/>
    </row>
    <row r="71" spans="1:7">
      <c r="A71" s="176" t="s">
        <v>96</v>
      </c>
      <c r="B71" s="22" t="s">
        <v>97</v>
      </c>
      <c r="C71" s="176"/>
      <c r="D71" s="181">
        <f>D65</f>
        <v>436.52</v>
      </c>
      <c r="E71" s="22"/>
      <c r="F71" s="22"/>
      <c r="G71" s="22"/>
    </row>
    <row r="72" spans="1:7">
      <c r="A72" s="176" t="s">
        <v>58</v>
      </c>
      <c r="B72" s="22"/>
      <c r="C72" s="176"/>
      <c r="D72" s="181">
        <f>TRUNC(SUM(D69:D71),2)</f>
        <v>1767.02</v>
      </c>
      <c r="E72" s="22"/>
      <c r="F72" s="22"/>
      <c r="G72" s="22"/>
    </row>
    <row r="73" spans="1:7">
      <c r="A73" s="22"/>
      <c r="B73" s="22"/>
      <c r="C73" s="22"/>
      <c r="D73" s="22"/>
      <c r="E73" s="22"/>
      <c r="F73" s="22"/>
      <c r="G73" s="22"/>
    </row>
    <row r="74" spans="1:7">
      <c r="A74" s="159" t="s">
        <v>108</v>
      </c>
      <c r="B74" s="159"/>
      <c r="C74" s="159"/>
      <c r="D74" s="159"/>
      <c r="E74" s="22"/>
      <c r="F74" s="22"/>
      <c r="G74" s="22"/>
    </row>
    <row r="75" spans="1:7">
      <c r="A75" s="176" t="s">
        <v>109</v>
      </c>
      <c r="B75" s="22" t="s">
        <v>110</v>
      </c>
      <c r="C75" s="176" t="s">
        <v>38</v>
      </c>
      <c r="D75" s="176" t="s">
        <v>19</v>
      </c>
      <c r="E75" s="22"/>
      <c r="F75" s="22"/>
      <c r="G75" s="22"/>
    </row>
    <row r="76" spans="1:7">
      <c r="A76" s="176" t="s">
        <v>42</v>
      </c>
      <c r="B76" s="22" t="s">
        <v>111</v>
      </c>
      <c r="C76" s="191">
        <f>((1/12)*5%)</f>
        <v>0.00416666666666667</v>
      </c>
      <c r="D76" s="178">
        <f t="shared" ref="D76:D79" si="1">TRUNC(($D$31*C76),2)</f>
        <v>8.27</v>
      </c>
      <c r="E76" s="22"/>
      <c r="F76" s="22"/>
      <c r="G76" s="22"/>
    </row>
    <row r="77" spans="1:7">
      <c r="A77" s="176" t="s">
        <v>45</v>
      </c>
      <c r="B77" s="22" t="s">
        <v>112</v>
      </c>
      <c r="C77" s="197">
        <v>0.08</v>
      </c>
      <c r="D77" s="181">
        <f>TRUNC(($D$76*C77),2)</f>
        <v>0.66</v>
      </c>
      <c r="E77" s="22"/>
      <c r="F77" s="22"/>
      <c r="G77" s="22"/>
    </row>
    <row r="78" ht="30" spans="1:7">
      <c r="A78" s="176" t="s">
        <v>48</v>
      </c>
      <c r="B78" s="198" t="s">
        <v>113</v>
      </c>
      <c r="C78" s="199">
        <f>(0.08*0.4*0.05)</f>
        <v>0.0016</v>
      </c>
      <c r="D78" s="194">
        <f t="shared" si="1"/>
        <v>3.17</v>
      </c>
      <c r="E78" s="22"/>
      <c r="F78" s="22"/>
      <c r="G78" s="22"/>
    </row>
    <row r="79" spans="1:7">
      <c r="A79" s="176" t="s">
        <v>50</v>
      </c>
      <c r="B79" s="22" t="s">
        <v>114</v>
      </c>
      <c r="C79" s="200">
        <f>(((7/30)/12)*0.95)</f>
        <v>0.0184722222222222</v>
      </c>
      <c r="D79" s="201">
        <f t="shared" si="1"/>
        <v>36.69</v>
      </c>
      <c r="E79" s="22"/>
      <c r="F79" s="22"/>
      <c r="G79" s="22"/>
    </row>
    <row r="80" ht="30" spans="1:7">
      <c r="A80" s="176" t="s">
        <v>53</v>
      </c>
      <c r="B80" s="198" t="s">
        <v>209</v>
      </c>
      <c r="C80" s="199">
        <f>C55</f>
        <v>0.398</v>
      </c>
      <c r="D80" s="194">
        <f>TRUNC(($D$79*C80),2)</f>
        <v>14.6</v>
      </c>
      <c r="E80" s="22"/>
      <c r="F80" s="22"/>
      <c r="G80" s="22"/>
    </row>
    <row r="81" ht="30" spans="1:7">
      <c r="A81" s="176" t="s">
        <v>55</v>
      </c>
      <c r="B81" s="198" t="s">
        <v>115</v>
      </c>
      <c r="C81" s="199">
        <f>(0.08*0.4*0.95)</f>
        <v>0.0304</v>
      </c>
      <c r="D81" s="194">
        <f>TRUNC(($D$31*C81),2)</f>
        <v>60.38</v>
      </c>
      <c r="E81" s="22"/>
      <c r="F81" s="22"/>
      <c r="G81" s="22"/>
    </row>
    <row r="82" spans="1:7">
      <c r="A82" s="176" t="s">
        <v>58</v>
      </c>
      <c r="B82" s="22"/>
      <c r="C82" s="197">
        <f>SUM(C76:C81)</f>
        <v>0.532638888888889</v>
      </c>
      <c r="D82" s="181">
        <f>TRUNC((SUM(D76:D81)),2)</f>
        <v>123.77</v>
      </c>
      <c r="E82" s="22"/>
      <c r="F82" s="22"/>
      <c r="G82" s="22"/>
    </row>
    <row r="83" ht="15.75" spans="1:7">
      <c r="A83" s="176"/>
      <c r="B83" s="22"/>
      <c r="C83" s="22"/>
      <c r="D83" s="181"/>
      <c r="E83" s="22"/>
      <c r="F83" s="22"/>
      <c r="G83" s="22"/>
    </row>
    <row r="84" ht="16.5" spans="1:7">
      <c r="A84" s="185" t="s">
        <v>210</v>
      </c>
      <c r="B84" s="185"/>
      <c r="C84" s="186" t="s">
        <v>202</v>
      </c>
      <c r="D84" s="187">
        <f>D31</f>
        <v>1986.4</v>
      </c>
      <c r="E84" s="22"/>
      <c r="F84" s="22"/>
      <c r="G84" s="22"/>
    </row>
    <row r="85" ht="16.5" spans="1:7">
      <c r="A85" s="185"/>
      <c r="B85" s="185"/>
      <c r="C85" s="188" t="s">
        <v>211</v>
      </c>
      <c r="D85" s="187">
        <f>D72</f>
        <v>1767.02</v>
      </c>
      <c r="E85" s="22"/>
      <c r="F85" s="22"/>
      <c r="G85" s="22"/>
    </row>
    <row r="86" ht="16.5" spans="1:7">
      <c r="A86" s="185"/>
      <c r="B86" s="185"/>
      <c r="C86" s="186" t="s">
        <v>212</v>
      </c>
      <c r="D86" s="187">
        <f>D82</f>
        <v>123.77</v>
      </c>
      <c r="E86" s="22"/>
      <c r="F86" s="22"/>
      <c r="G86" s="22"/>
    </row>
    <row r="87" ht="16.5" spans="1:7">
      <c r="A87" s="185"/>
      <c r="B87" s="185"/>
      <c r="C87" s="188" t="s">
        <v>204</v>
      </c>
      <c r="D87" s="189">
        <f>TRUNC((SUM(D84:D86)),2)</f>
        <v>3877.19</v>
      </c>
      <c r="E87" s="22"/>
      <c r="F87" s="22"/>
      <c r="G87" s="22"/>
    </row>
    <row r="88" ht="15.75" spans="1:7">
      <c r="A88" s="176"/>
      <c r="B88" s="22"/>
      <c r="C88" s="22"/>
      <c r="D88" s="181"/>
      <c r="E88" s="22"/>
      <c r="F88" s="22"/>
      <c r="G88" s="22"/>
    </row>
    <row r="89" spans="1:7">
      <c r="A89" s="202" t="s">
        <v>127</v>
      </c>
      <c r="B89" s="202"/>
      <c r="C89" s="202"/>
      <c r="D89" s="202"/>
      <c r="E89" s="22"/>
      <c r="F89" s="22"/>
      <c r="G89" s="22"/>
    </row>
    <row r="90" spans="1:7">
      <c r="A90" s="175" t="s">
        <v>128</v>
      </c>
      <c r="B90" s="175"/>
      <c r="C90" s="175"/>
      <c r="D90" s="175"/>
      <c r="E90" s="22"/>
      <c r="F90" s="22"/>
      <c r="G90" s="22"/>
    </row>
    <row r="91" spans="1:7">
      <c r="A91" s="176" t="s">
        <v>129</v>
      </c>
      <c r="B91" s="22" t="s">
        <v>130</v>
      </c>
      <c r="C91" s="176" t="s">
        <v>38</v>
      </c>
      <c r="D91" s="176" t="s">
        <v>19</v>
      </c>
      <c r="E91" s="22"/>
      <c r="F91" s="22"/>
      <c r="G91" s="22"/>
    </row>
    <row r="92" spans="1:7">
      <c r="A92" s="176" t="s">
        <v>42</v>
      </c>
      <c r="B92" s="22" t="s">
        <v>213</v>
      </c>
      <c r="C92" s="197">
        <f>(((1+1/3)/12)/12)+((1/12)/12)</f>
        <v>0.0162037037037037</v>
      </c>
      <c r="D92" s="181">
        <f>TRUNC(($D$87*C92),2)</f>
        <v>62.82</v>
      </c>
      <c r="E92" s="22"/>
      <c r="F92" s="22"/>
      <c r="G92" s="22"/>
    </row>
    <row r="93" spans="1:7">
      <c r="A93" s="176" t="s">
        <v>45</v>
      </c>
      <c r="B93" s="22" t="s">
        <v>133</v>
      </c>
      <c r="C93" s="191">
        <f>((2/30)/12)</f>
        <v>0.00555555555555556</v>
      </c>
      <c r="D93" s="194">
        <f t="shared" ref="D92:D96" si="2">TRUNC(($D$87*C93),2)</f>
        <v>21.53</v>
      </c>
      <c r="E93" s="22"/>
      <c r="F93" s="22"/>
      <c r="G93" s="22"/>
    </row>
    <row r="94" spans="1:7">
      <c r="A94" s="176" t="s">
        <v>48</v>
      </c>
      <c r="B94" s="22" t="s">
        <v>134</v>
      </c>
      <c r="C94" s="191">
        <f>((5/30)/12)*0.02</f>
        <v>0.000277777777777778</v>
      </c>
      <c r="D94" s="194">
        <f t="shared" si="2"/>
        <v>1.07</v>
      </c>
      <c r="E94" s="22"/>
      <c r="F94" s="22"/>
      <c r="G94" s="22"/>
    </row>
    <row r="95" ht="30" spans="1:7">
      <c r="A95" s="192" t="s">
        <v>50</v>
      </c>
      <c r="B95" s="198" t="s">
        <v>135</v>
      </c>
      <c r="C95" s="199">
        <f>((15/30)/12)*0.08</f>
        <v>0.00333333333333333</v>
      </c>
      <c r="D95" s="194">
        <f t="shared" si="2"/>
        <v>12.92</v>
      </c>
      <c r="E95" s="22"/>
      <c r="F95" s="22"/>
      <c r="G95" s="22"/>
    </row>
    <row r="96" spans="1:7">
      <c r="A96" s="176" t="s">
        <v>53</v>
      </c>
      <c r="B96" s="22" t="s">
        <v>136</v>
      </c>
      <c r="C96" s="191">
        <f>((1+1/3)/12)*0.03*((4/12))</f>
        <v>0.00111111111111111</v>
      </c>
      <c r="D96" s="194">
        <f t="shared" si="2"/>
        <v>4.3</v>
      </c>
      <c r="E96" s="22"/>
      <c r="F96" s="22"/>
      <c r="G96" s="22"/>
    </row>
    <row r="97" spans="1:7">
      <c r="A97" s="176" t="s">
        <v>55</v>
      </c>
      <c r="B97" s="198" t="s">
        <v>214</v>
      </c>
      <c r="C97" s="203">
        <v>0</v>
      </c>
      <c r="D97" s="194">
        <f>TRUNC($D$87*C97)</f>
        <v>0</v>
      </c>
      <c r="E97" s="22"/>
      <c r="F97" s="22"/>
      <c r="G97" s="22"/>
    </row>
    <row r="98" spans="1:7">
      <c r="A98" s="176" t="s">
        <v>58</v>
      </c>
      <c r="B98" s="22"/>
      <c r="C98" s="197">
        <f>SUM(C92:C97)</f>
        <v>0.0264814814814815</v>
      </c>
      <c r="D98" s="181">
        <f>TRUNC((SUM(D92:D97)),2)</f>
        <v>102.64</v>
      </c>
      <c r="E98" s="22"/>
      <c r="F98" s="22"/>
      <c r="G98" s="22"/>
    </row>
    <row r="99" spans="1:7">
      <c r="A99" s="176"/>
      <c r="B99" s="22"/>
      <c r="C99" s="176"/>
      <c r="D99" s="181"/>
      <c r="E99" s="22"/>
      <c r="F99" s="22"/>
      <c r="G99" s="22"/>
    </row>
    <row r="100" spans="1:7">
      <c r="A100" s="175" t="s">
        <v>144</v>
      </c>
      <c r="B100" s="175"/>
      <c r="C100" s="175"/>
      <c r="D100" s="175"/>
      <c r="E100" s="22"/>
      <c r="F100" s="22"/>
      <c r="G100" s="22"/>
    </row>
    <row r="101" spans="1:7">
      <c r="A101" s="176" t="s">
        <v>145</v>
      </c>
      <c r="B101" s="22" t="s">
        <v>146</v>
      </c>
      <c r="C101" s="176" t="s">
        <v>18</v>
      </c>
      <c r="D101" s="176" t="s">
        <v>19</v>
      </c>
      <c r="E101" s="22"/>
      <c r="F101" s="22"/>
      <c r="G101" s="22"/>
    </row>
    <row r="102" ht="90" spans="1:7">
      <c r="A102" s="192" t="s">
        <v>42</v>
      </c>
      <c r="B102" s="204" t="s">
        <v>147</v>
      </c>
      <c r="C102" s="205" t="s">
        <v>215</v>
      </c>
      <c r="D102" s="206" t="s">
        <v>216</v>
      </c>
      <c r="E102" s="22"/>
      <c r="F102" s="22"/>
      <c r="G102" s="22"/>
    </row>
    <row r="103" spans="1:7">
      <c r="A103" s="176" t="s">
        <v>58</v>
      </c>
      <c r="B103" s="22"/>
      <c r="C103" s="176"/>
      <c r="D103" s="207" t="str">
        <f>D102</f>
        <v>*=TRUNCAR(($D$86/220)*(1*(365/12))/2)</v>
      </c>
      <c r="E103" s="22"/>
      <c r="F103" s="22"/>
      <c r="G103" s="22"/>
    </row>
    <row r="104" spans="1:7">
      <c r="A104" s="22"/>
      <c r="B104" s="22"/>
      <c r="C104" s="22"/>
      <c r="D104" s="22"/>
      <c r="E104" s="22"/>
      <c r="F104" s="22"/>
      <c r="G104" s="22"/>
    </row>
    <row r="105" spans="1:7">
      <c r="A105" s="175" t="s">
        <v>148</v>
      </c>
      <c r="B105" s="175"/>
      <c r="C105" s="175"/>
      <c r="D105" s="175"/>
      <c r="E105" s="22"/>
      <c r="F105" s="22"/>
      <c r="G105" s="22"/>
    </row>
    <row r="106" spans="1:7">
      <c r="A106" s="176" t="s">
        <v>149</v>
      </c>
      <c r="B106" s="22" t="s">
        <v>150</v>
      </c>
      <c r="C106" s="176" t="s">
        <v>18</v>
      </c>
      <c r="D106" s="176" t="s">
        <v>19</v>
      </c>
      <c r="E106" s="22"/>
      <c r="F106" s="22"/>
      <c r="G106" s="22"/>
    </row>
    <row r="107" spans="1:7">
      <c r="A107" s="176" t="s">
        <v>129</v>
      </c>
      <c r="B107" s="22" t="s">
        <v>130</v>
      </c>
      <c r="C107" s="22"/>
      <c r="D107" s="178">
        <f>D98</f>
        <v>102.64</v>
      </c>
      <c r="E107" s="22"/>
      <c r="F107" s="22"/>
      <c r="G107" s="22"/>
    </row>
    <row r="108" spans="1:7">
      <c r="A108" s="176" t="s">
        <v>145</v>
      </c>
      <c r="B108" s="22" t="s">
        <v>151</v>
      </c>
      <c r="C108" s="22"/>
      <c r="D108" s="208" t="str">
        <f>Submódulo4.260_8120[[#Totals],[Valor]]</f>
        <v>*=TRUNCAR(($D$86/220)*(1*(365/12))/2)</v>
      </c>
      <c r="E108" s="22"/>
      <c r="F108" s="22"/>
      <c r="G108" s="22"/>
    </row>
    <row r="109" ht="60" spans="1:7">
      <c r="A109" s="192" t="s">
        <v>58</v>
      </c>
      <c r="B109" s="193"/>
      <c r="C109" s="205" t="s">
        <v>217</v>
      </c>
      <c r="D109" s="209">
        <f>TRUNC((SUM(D107:D108)),2)</f>
        <v>102.64</v>
      </c>
      <c r="E109" s="22"/>
      <c r="F109" s="22"/>
      <c r="G109" s="22"/>
    </row>
    <row r="110" spans="1:7">
      <c r="A110" s="22"/>
      <c r="B110" s="22"/>
      <c r="C110" s="22"/>
      <c r="D110" s="22"/>
      <c r="E110" s="22"/>
      <c r="F110" s="22"/>
      <c r="G110" s="22"/>
    </row>
    <row r="111" spans="1:7">
      <c r="A111" s="159" t="s">
        <v>152</v>
      </c>
      <c r="B111" s="159"/>
      <c r="C111" s="159"/>
      <c r="D111" s="159"/>
      <c r="E111" s="22"/>
      <c r="F111" s="22"/>
      <c r="G111" s="22"/>
    </row>
    <row r="112" spans="1:7">
      <c r="A112" s="176" t="s">
        <v>153</v>
      </c>
      <c r="B112" s="22" t="s">
        <v>154</v>
      </c>
      <c r="C112" s="176" t="s">
        <v>18</v>
      </c>
      <c r="D112" s="176" t="s">
        <v>19</v>
      </c>
      <c r="E112" s="22"/>
      <c r="F112" s="22"/>
      <c r="G112" s="22"/>
    </row>
    <row r="113" spans="1:7">
      <c r="A113" s="176" t="s">
        <v>42</v>
      </c>
      <c r="B113" s="22" t="s">
        <v>218</v>
      </c>
      <c r="C113" s="22"/>
      <c r="D113" s="178">
        <f>Uniformes!G69</f>
        <v>200.28</v>
      </c>
      <c r="E113" s="22"/>
      <c r="F113" s="22"/>
      <c r="G113" s="22"/>
    </row>
    <row r="114" spans="1:7">
      <c r="A114" s="176" t="s">
        <v>45</v>
      </c>
      <c r="B114" s="22" t="s">
        <v>219</v>
      </c>
      <c r="C114" s="22"/>
      <c r="D114" s="178">
        <f>EPC!E21</f>
        <v>8.44</v>
      </c>
      <c r="E114" s="22"/>
      <c r="F114" s="22"/>
      <c r="G114" s="22"/>
    </row>
    <row r="115" spans="1:7">
      <c r="A115" s="176" t="s">
        <v>48</v>
      </c>
      <c r="B115" s="22" t="s">
        <v>156</v>
      </c>
      <c r="C115" s="86"/>
      <c r="D115" s="178">
        <f>'Materiais e Equipamentos'!E85</f>
        <v>236.69</v>
      </c>
      <c r="E115" s="22"/>
      <c r="F115" s="22"/>
      <c r="G115" s="22"/>
    </row>
    <row r="116" spans="1:7">
      <c r="A116" s="176" t="s">
        <v>50</v>
      </c>
      <c r="B116" s="22" t="s">
        <v>157</v>
      </c>
      <c r="C116" s="86"/>
      <c r="D116" s="178">
        <f>'Materiais e Equipamentos'!F116</f>
        <v>41.18</v>
      </c>
      <c r="E116" s="22"/>
      <c r="F116" s="22"/>
      <c r="G116" s="22"/>
    </row>
    <row r="117" spans="1:7">
      <c r="A117" s="176" t="s">
        <v>53</v>
      </c>
      <c r="B117" s="22" t="s">
        <v>56</v>
      </c>
      <c r="C117" s="22"/>
      <c r="D117" s="178">
        <f>H116</f>
        <v>0</v>
      </c>
      <c r="E117" s="22"/>
      <c r="F117" s="22"/>
      <c r="G117" s="22"/>
    </row>
    <row r="118" spans="1:7">
      <c r="A118" s="176" t="s">
        <v>58</v>
      </c>
      <c r="B118" s="22"/>
      <c r="C118" s="22"/>
      <c r="D118" s="181">
        <f>TRUNC(SUM((D113:D117)),2)</f>
        <v>486.59</v>
      </c>
      <c r="E118" s="22"/>
      <c r="F118" s="22"/>
      <c r="G118" s="22"/>
    </row>
    <row r="119" ht="15.75" spans="1:7">
      <c r="A119" s="22"/>
      <c r="B119" s="22"/>
      <c r="C119" s="22"/>
      <c r="D119" s="22"/>
      <c r="E119" s="22"/>
      <c r="F119" s="22"/>
      <c r="G119" s="22"/>
    </row>
    <row r="120" ht="16.5" spans="1:7">
      <c r="A120" s="185" t="s">
        <v>221</v>
      </c>
      <c r="B120" s="185"/>
      <c r="C120" s="186" t="s">
        <v>202</v>
      </c>
      <c r="D120" s="187">
        <f>D31</f>
        <v>1986.4</v>
      </c>
      <c r="E120" s="22"/>
      <c r="F120" s="22"/>
      <c r="G120" s="22"/>
    </row>
    <row r="121" ht="16.5" spans="1:7">
      <c r="A121" s="185"/>
      <c r="B121" s="185"/>
      <c r="C121" s="188" t="s">
        <v>211</v>
      </c>
      <c r="D121" s="187">
        <f>D72</f>
        <v>1767.02</v>
      </c>
      <c r="E121" s="22"/>
      <c r="F121" s="22"/>
      <c r="G121" s="22"/>
    </row>
    <row r="122" ht="16.5" spans="1:7">
      <c r="A122" s="185"/>
      <c r="B122" s="185"/>
      <c r="C122" s="186" t="s">
        <v>212</v>
      </c>
      <c r="D122" s="187">
        <f>D82</f>
        <v>123.77</v>
      </c>
      <c r="E122" s="22"/>
      <c r="F122" s="22"/>
      <c r="G122" s="22"/>
    </row>
    <row r="123" ht="16.5" spans="1:7">
      <c r="A123" s="185"/>
      <c r="B123" s="185"/>
      <c r="C123" s="188" t="s">
        <v>222</v>
      </c>
      <c r="D123" s="187">
        <f>D109</f>
        <v>102.64</v>
      </c>
      <c r="E123" s="22"/>
      <c r="F123" s="22"/>
      <c r="G123" s="22"/>
    </row>
    <row r="124" ht="16.5" spans="1:7">
      <c r="A124" s="185"/>
      <c r="B124" s="185"/>
      <c r="C124" s="186" t="s">
        <v>223</v>
      </c>
      <c r="D124" s="187">
        <f>D118</f>
        <v>486.59</v>
      </c>
      <c r="E124" s="22"/>
      <c r="F124" s="22"/>
      <c r="G124" s="22"/>
    </row>
    <row r="125" ht="16.5" spans="1:7">
      <c r="A125" s="185"/>
      <c r="B125" s="185"/>
      <c r="C125" s="188" t="s">
        <v>204</v>
      </c>
      <c r="D125" s="189">
        <f>TRUNC((SUM(D120:D124)),2)</f>
        <v>4466.42</v>
      </c>
      <c r="E125" s="22"/>
      <c r="F125" s="22"/>
      <c r="G125" s="22"/>
    </row>
    <row r="126" ht="15.75" spans="1:7">
      <c r="A126" s="22"/>
      <c r="B126" s="22"/>
      <c r="C126" s="22"/>
      <c r="D126" s="22"/>
      <c r="E126" s="22"/>
      <c r="F126" s="22"/>
      <c r="G126" s="22"/>
    </row>
    <row r="127" spans="1:7">
      <c r="A127" s="159" t="s">
        <v>164</v>
      </c>
      <c r="B127" s="159"/>
      <c r="C127" s="159"/>
      <c r="D127" s="159"/>
      <c r="E127" s="22"/>
      <c r="F127" s="22"/>
      <c r="G127" s="22"/>
    </row>
    <row r="128" ht="15.75" spans="1:7">
      <c r="A128" s="176" t="s">
        <v>165</v>
      </c>
      <c r="B128" s="22" t="s">
        <v>166</v>
      </c>
      <c r="C128" s="176" t="s">
        <v>38</v>
      </c>
      <c r="D128" s="176" t="s">
        <v>19</v>
      </c>
      <c r="E128" s="22"/>
      <c r="F128" s="210" t="s">
        <v>224</v>
      </c>
      <c r="G128" s="210"/>
    </row>
    <row r="129" ht="15.75" spans="1:7">
      <c r="A129" s="176" t="s">
        <v>42</v>
      </c>
      <c r="B129" s="22" t="s">
        <v>167</v>
      </c>
      <c r="C129" s="191">
        <v>0.044</v>
      </c>
      <c r="D129" s="178">
        <f>TRUNC(($D$125*C129),2)</f>
        <v>196.52</v>
      </c>
      <c r="E129" s="22"/>
      <c r="F129" s="211" t="s">
        <v>225</v>
      </c>
      <c r="G129" s="199">
        <f>C131</f>
        <v>0.0865</v>
      </c>
    </row>
    <row r="130" ht="15.75" spans="1:7">
      <c r="A130" s="176" t="s">
        <v>45</v>
      </c>
      <c r="B130" s="22" t="s">
        <v>59</v>
      </c>
      <c r="C130" s="191">
        <v>0.0413</v>
      </c>
      <c r="D130" s="178">
        <f>TRUNC((C130*(D125+D129)),2)</f>
        <v>192.57</v>
      </c>
      <c r="E130" s="22"/>
      <c r="F130" s="212" t="s">
        <v>226</v>
      </c>
      <c r="G130" s="220">
        <f>TRUNC(SUM(D125,D129,D130),2)</f>
        <v>4855.51</v>
      </c>
    </row>
    <row r="131" ht="15.75" spans="1:7">
      <c r="A131" s="176" t="s">
        <v>48</v>
      </c>
      <c r="B131" s="22" t="s">
        <v>168</v>
      </c>
      <c r="C131" s="191">
        <f>SUM(C132:C134)</f>
        <v>0.0865</v>
      </c>
      <c r="D131" s="178">
        <f>TRUNC((SUM(D132:D134)),2)</f>
        <v>459.75</v>
      </c>
      <c r="E131" s="22"/>
      <c r="F131" s="211" t="s">
        <v>227</v>
      </c>
      <c r="G131" s="214">
        <f>(100-8.65)/100</f>
        <v>0.9135</v>
      </c>
    </row>
    <row r="132" ht="15.75" spans="1:7">
      <c r="A132" s="176"/>
      <c r="B132" s="22" t="s">
        <v>228</v>
      </c>
      <c r="C132" s="191">
        <v>0.0065</v>
      </c>
      <c r="D132" s="178">
        <f t="shared" ref="D132:D134" si="3">TRUNC(($G$132*C132),2)</f>
        <v>34.54</v>
      </c>
      <c r="E132" s="22"/>
      <c r="F132" s="212" t="s">
        <v>224</v>
      </c>
      <c r="G132" s="220">
        <f>TRUNC((G130/G131),2)</f>
        <v>5315.28</v>
      </c>
    </row>
    <row r="133" ht="15.75" spans="1:7">
      <c r="A133" s="176"/>
      <c r="B133" s="22" t="s">
        <v>229</v>
      </c>
      <c r="C133" s="191">
        <v>0.03</v>
      </c>
      <c r="D133" s="178">
        <f t="shared" si="3"/>
        <v>159.45</v>
      </c>
      <c r="E133" s="22"/>
      <c r="F133" s="22"/>
      <c r="G133" s="22"/>
    </row>
    <row r="134" spans="1:7">
      <c r="A134" s="176"/>
      <c r="B134" s="22" t="s">
        <v>230</v>
      </c>
      <c r="C134" s="191">
        <v>0.05</v>
      </c>
      <c r="D134" s="178">
        <f t="shared" si="3"/>
        <v>265.76</v>
      </c>
      <c r="E134" s="22"/>
      <c r="F134" s="22"/>
      <c r="G134" s="22"/>
    </row>
    <row r="135" spans="1:7">
      <c r="A135" s="176" t="s">
        <v>58</v>
      </c>
      <c r="B135" s="22"/>
      <c r="C135" s="176"/>
      <c r="D135" s="181">
        <f>TRUNC(SUM(D129:D131),2)</f>
        <v>848.84</v>
      </c>
      <c r="E135" s="22"/>
      <c r="F135" s="22"/>
      <c r="G135" s="22"/>
    </row>
    <row r="136" spans="1:7">
      <c r="A136" s="176"/>
      <c r="B136" s="22"/>
      <c r="C136" s="176"/>
      <c r="D136" s="181"/>
      <c r="E136" s="22"/>
      <c r="F136" s="22"/>
      <c r="G136" s="22"/>
    </row>
    <row r="137" spans="1:7">
      <c r="A137" s="22"/>
      <c r="B137" s="22"/>
      <c r="C137" s="22"/>
      <c r="D137" s="22"/>
      <c r="E137" s="22"/>
      <c r="F137" s="22"/>
      <c r="G137" s="22"/>
    </row>
    <row r="138" spans="1:7">
      <c r="A138" s="159" t="s">
        <v>172</v>
      </c>
      <c r="B138" s="159"/>
      <c r="C138" s="159"/>
      <c r="D138" s="159"/>
      <c r="E138" s="22"/>
      <c r="F138" s="22"/>
      <c r="G138" s="22"/>
    </row>
    <row r="139" spans="1:7">
      <c r="A139" s="176" t="s">
        <v>16</v>
      </c>
      <c r="B139" s="176" t="s">
        <v>173</v>
      </c>
      <c r="C139" s="176" t="s">
        <v>102</v>
      </c>
      <c r="D139" s="176" t="s">
        <v>19</v>
      </c>
      <c r="E139" s="22"/>
      <c r="F139" s="22"/>
      <c r="G139" s="22"/>
    </row>
    <row r="140" spans="1:7">
      <c r="A140" s="176" t="s">
        <v>42</v>
      </c>
      <c r="B140" s="22" t="s">
        <v>36</v>
      </c>
      <c r="C140" s="22"/>
      <c r="D140" s="181">
        <f>D31</f>
        <v>1986.4</v>
      </c>
      <c r="E140" s="22"/>
      <c r="F140" s="22"/>
      <c r="G140" s="22"/>
    </row>
    <row r="141" spans="1:7">
      <c r="A141" s="176" t="s">
        <v>45</v>
      </c>
      <c r="B141" s="22" t="s">
        <v>61</v>
      </c>
      <c r="C141" s="22"/>
      <c r="D141" s="181">
        <f>D72</f>
        <v>1767.02</v>
      </c>
      <c r="E141" s="22"/>
      <c r="F141" s="22"/>
      <c r="G141" s="22"/>
    </row>
    <row r="142" spans="1:7">
      <c r="A142" s="176" t="s">
        <v>48</v>
      </c>
      <c r="B142" s="22" t="s">
        <v>108</v>
      </c>
      <c r="C142" s="22"/>
      <c r="D142" s="181">
        <f>D82</f>
        <v>123.77</v>
      </c>
      <c r="E142" s="22"/>
      <c r="F142" s="22"/>
      <c r="G142" s="22"/>
    </row>
    <row r="143" spans="1:7">
      <c r="A143" s="176" t="s">
        <v>50</v>
      </c>
      <c r="B143" s="22" t="s">
        <v>174</v>
      </c>
      <c r="C143" s="22"/>
      <c r="D143" s="181">
        <f>D109</f>
        <v>102.64</v>
      </c>
      <c r="E143" s="22"/>
      <c r="F143" s="22"/>
      <c r="G143" s="22"/>
    </row>
    <row r="144" spans="1:7">
      <c r="A144" s="176" t="s">
        <v>53</v>
      </c>
      <c r="B144" s="22" t="s">
        <v>152</v>
      </c>
      <c r="C144" s="22"/>
      <c r="D144" s="181">
        <f>D118</f>
        <v>486.59</v>
      </c>
      <c r="E144" s="22"/>
      <c r="F144" s="22"/>
      <c r="G144" s="22"/>
    </row>
    <row r="145" spans="1:7">
      <c r="A145" s="22"/>
      <c r="B145" s="215" t="s">
        <v>175</v>
      </c>
      <c r="C145" s="22"/>
      <c r="D145" s="181">
        <f>TRUNC(SUM(D140:D144),2)</f>
        <v>4466.42</v>
      </c>
      <c r="E145" s="22"/>
      <c r="F145" s="22"/>
      <c r="G145" s="22"/>
    </row>
    <row r="146" spans="1:7">
      <c r="A146" s="176" t="s">
        <v>55</v>
      </c>
      <c r="B146" s="22" t="s">
        <v>164</v>
      </c>
      <c r="C146" s="22"/>
      <c r="D146" s="181">
        <f>D135</f>
        <v>848.84</v>
      </c>
      <c r="E146" s="22"/>
      <c r="F146" s="22"/>
      <c r="G146" s="22"/>
    </row>
    <row r="147" spans="1:7">
      <c r="A147" s="216"/>
      <c r="B147" s="217" t="s">
        <v>231</v>
      </c>
      <c r="C147" s="216"/>
      <c r="D147" s="218">
        <f>TRUNC((SUM(D140:D144)+D146),2)</f>
        <v>5315.26</v>
      </c>
      <c r="E147" s="22"/>
      <c r="F147" s="22"/>
      <c r="G147" s="22"/>
    </row>
    <row r="148" spans="1:7">
      <c r="A148" s="22"/>
      <c r="B148" s="22"/>
      <c r="C148" s="22"/>
      <c r="D148" s="22"/>
      <c r="E148" s="22"/>
      <c r="F148" s="22"/>
      <c r="G148" s="22"/>
    </row>
    <row r="149" spans="1:7">
      <c r="A149" s="22"/>
      <c r="B149" s="22"/>
      <c r="C149" s="22"/>
      <c r="D149" s="22"/>
      <c r="E149" s="22"/>
      <c r="F149" s="22"/>
      <c r="G149" s="22"/>
    </row>
    <row r="150" spans="1:7">
      <c r="A150" s="22"/>
      <c r="B150" s="22"/>
      <c r="C150" s="22"/>
      <c r="D150" s="22"/>
      <c r="E150" s="22"/>
      <c r="F150" s="22"/>
      <c r="G150" s="22"/>
    </row>
    <row r="151" spans="1:7">
      <c r="A151" s="22"/>
      <c r="B151" s="22"/>
      <c r="C151" s="22"/>
      <c r="D151" s="22"/>
      <c r="E151" s="22"/>
      <c r="F151" s="22"/>
      <c r="G151" s="22"/>
    </row>
    <row r="152" spans="1:7">
      <c r="A152" s="22"/>
      <c r="B152" s="22"/>
      <c r="C152" s="22"/>
      <c r="D152" s="22"/>
      <c r="E152" s="22"/>
      <c r="F152" s="22"/>
      <c r="G152" s="22"/>
    </row>
    <row r="153" spans="1:7">
      <c r="A153" s="22"/>
      <c r="B153" s="22"/>
      <c r="C153" s="22"/>
      <c r="D153" s="22"/>
      <c r="E153" s="22"/>
      <c r="F153" s="22"/>
      <c r="G153" s="22"/>
    </row>
    <row r="154" spans="1:7">
      <c r="A154" s="22"/>
      <c r="B154" s="22"/>
      <c r="C154" s="22"/>
      <c r="D154" s="22"/>
      <c r="E154" s="22"/>
      <c r="F154" s="22"/>
      <c r="G154" s="22"/>
    </row>
    <row r="155" spans="1:7">
      <c r="A155" s="22"/>
      <c r="B155" s="22"/>
      <c r="C155" s="22"/>
      <c r="D155" s="22"/>
      <c r="E155" s="22"/>
      <c r="F155" s="22"/>
      <c r="G155" s="22"/>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7"/>
  <sheetViews>
    <sheetView topLeftCell="A131" workbookViewId="0">
      <selection activeCell="A2" sqref="A2:D148"/>
    </sheetView>
  </sheetViews>
  <sheetFormatPr defaultColWidth="9.14285714285714" defaultRowHeight="15" outlineLevelCol="6"/>
  <cols>
    <col min="1" max="1" width="10.447619047619" customWidth="1"/>
    <col min="2" max="2" width="48" customWidth="1"/>
    <col min="3" max="3" width="25" customWidth="1"/>
    <col min="4" max="4" width="33.8857142857143" customWidth="1"/>
    <col min="6" max="6" width="21.5714285714286" customWidth="1"/>
    <col min="7" max="7" width="18.1428571428571" customWidth="1"/>
  </cols>
  <sheetData>
    <row r="1" spans="1:7">
      <c r="A1" s="22"/>
      <c r="B1" s="22"/>
      <c r="C1" s="22"/>
      <c r="D1" s="22"/>
      <c r="E1" s="22"/>
      <c r="F1" s="22"/>
      <c r="G1" s="22"/>
    </row>
    <row r="2" ht="19.5" spans="1:7">
      <c r="A2" s="152" t="s">
        <v>177</v>
      </c>
      <c r="B2" s="152"/>
      <c r="C2" s="152"/>
      <c r="D2" s="152"/>
      <c r="E2" s="22"/>
      <c r="F2" s="22"/>
      <c r="G2" s="22"/>
    </row>
    <row r="3" ht="15.75" spans="1:7">
      <c r="A3" s="153" t="s">
        <v>245</v>
      </c>
      <c r="B3" s="153"/>
      <c r="C3" s="153"/>
      <c r="D3" s="153"/>
      <c r="E3" s="22"/>
      <c r="F3" s="22"/>
      <c r="G3" s="22"/>
    </row>
    <row r="4" ht="30" spans="1:7">
      <c r="A4" s="154" t="s">
        <v>179</v>
      </c>
      <c r="B4" s="155" t="s">
        <v>180</v>
      </c>
      <c r="C4" s="156"/>
      <c r="D4" s="156"/>
      <c r="E4" s="22"/>
      <c r="F4" s="22"/>
      <c r="G4" s="22"/>
    </row>
    <row r="5" spans="1:7">
      <c r="A5" s="157"/>
      <c r="B5" s="158"/>
      <c r="C5" s="158"/>
      <c r="D5" s="158"/>
      <c r="E5" s="22"/>
      <c r="F5" s="22"/>
      <c r="G5" s="22"/>
    </row>
    <row r="6" ht="15.75" spans="1:7">
      <c r="A6" s="159" t="s">
        <v>181</v>
      </c>
      <c r="B6" s="159"/>
      <c r="C6" s="159"/>
      <c r="D6" s="159"/>
      <c r="E6" s="22"/>
      <c r="F6" s="22"/>
      <c r="G6" s="22"/>
    </row>
    <row r="7" ht="15.75" spans="1:7">
      <c r="A7" s="160" t="s">
        <v>42</v>
      </c>
      <c r="B7" s="161" t="s">
        <v>182</v>
      </c>
      <c r="C7" s="162" t="s">
        <v>183</v>
      </c>
      <c r="D7" s="162"/>
      <c r="E7" s="22"/>
      <c r="F7" s="22"/>
      <c r="G7" s="22"/>
    </row>
    <row r="8" spans="1:7">
      <c r="A8" s="163" t="s">
        <v>45</v>
      </c>
      <c r="B8" s="164" t="s">
        <v>184</v>
      </c>
      <c r="C8" s="165" t="s">
        <v>185</v>
      </c>
      <c r="D8" s="165"/>
      <c r="E8" s="22"/>
      <c r="F8" s="22"/>
      <c r="G8" s="22"/>
    </row>
    <row r="9" spans="1:7">
      <c r="A9" s="166" t="s">
        <v>48</v>
      </c>
      <c r="B9" s="167" t="s">
        <v>186</v>
      </c>
      <c r="C9" s="165" t="s">
        <v>246</v>
      </c>
      <c r="D9" s="165"/>
      <c r="E9" s="22"/>
      <c r="F9" s="22"/>
      <c r="G9" s="22"/>
    </row>
    <row r="10" spans="1:7">
      <c r="A10" s="163" t="s">
        <v>53</v>
      </c>
      <c r="B10" s="164" t="s">
        <v>188</v>
      </c>
      <c r="C10" s="165" t="s">
        <v>189</v>
      </c>
      <c r="D10" s="165"/>
      <c r="E10" s="22"/>
      <c r="F10" s="22"/>
      <c r="G10" s="22"/>
    </row>
    <row r="11" ht="15.75" spans="1:7">
      <c r="A11" s="168" t="s">
        <v>190</v>
      </c>
      <c r="B11" s="168"/>
      <c r="C11" s="168"/>
      <c r="D11" s="168"/>
      <c r="E11" s="22"/>
      <c r="F11" s="22"/>
      <c r="G11" s="22"/>
    </row>
    <row r="12" ht="16.5" spans="1:7">
      <c r="A12" s="169" t="s">
        <v>191</v>
      </c>
      <c r="B12" s="169"/>
      <c r="C12" s="168" t="s">
        <v>192</v>
      </c>
      <c r="D12" s="170" t="s">
        <v>193</v>
      </c>
      <c r="E12" s="22"/>
      <c r="F12" s="22"/>
      <c r="G12" s="22"/>
    </row>
    <row r="13" ht="15.75" spans="1:7">
      <c r="A13" s="171" t="s">
        <v>252</v>
      </c>
      <c r="B13" s="171"/>
      <c r="C13" s="165" t="s">
        <v>195</v>
      </c>
      <c r="D13" s="172">
        <f>RESUMO!D8</f>
        <v>1</v>
      </c>
      <c r="E13" s="22"/>
      <c r="F13" s="22"/>
      <c r="G13" s="22"/>
    </row>
    <row r="14" spans="1:7">
      <c r="A14" s="173"/>
      <c r="B14" s="173"/>
      <c r="C14" s="165"/>
      <c r="D14" s="174"/>
      <c r="E14" s="22"/>
      <c r="F14" s="22"/>
      <c r="G14" s="22"/>
    </row>
    <row r="15" ht="15.75" spans="1:7">
      <c r="A15" s="168" t="s">
        <v>14</v>
      </c>
      <c r="B15" s="168"/>
      <c r="C15" s="168"/>
      <c r="D15" s="168"/>
      <c r="E15" s="22"/>
      <c r="F15" s="175"/>
      <c r="G15" s="175"/>
    </row>
    <row r="16" ht="15.75" spans="1:7">
      <c r="A16" s="176" t="s">
        <v>16</v>
      </c>
      <c r="B16" s="22" t="s">
        <v>17</v>
      </c>
      <c r="C16" s="176" t="s">
        <v>18</v>
      </c>
      <c r="D16" s="176" t="s">
        <v>19</v>
      </c>
      <c r="E16" s="22"/>
      <c r="F16" s="22"/>
      <c r="G16" s="22"/>
    </row>
    <row r="17" spans="1:7">
      <c r="A17" s="176">
        <v>1</v>
      </c>
      <c r="B17" s="22" t="s">
        <v>20</v>
      </c>
      <c r="C17" s="177" t="s">
        <v>102</v>
      </c>
      <c r="D17" s="177" t="str">
        <f>A13</f>
        <v>Auxiliar de Manutenção Predial</v>
      </c>
      <c r="E17" s="22"/>
      <c r="F17" s="22"/>
      <c r="G17" s="22"/>
    </row>
    <row r="18" spans="1:7">
      <c r="A18" s="176">
        <v>2</v>
      </c>
      <c r="B18" s="22" t="s">
        <v>23</v>
      </c>
      <c r="C18" s="177" t="s">
        <v>196</v>
      </c>
      <c r="D18" s="177" t="s">
        <v>253</v>
      </c>
      <c r="E18" s="22"/>
      <c r="F18" s="22"/>
      <c r="G18" s="22"/>
    </row>
    <row r="19" spans="1:7">
      <c r="A19" s="176">
        <v>3</v>
      </c>
      <c r="B19" s="22" t="s">
        <v>26</v>
      </c>
      <c r="C19" s="177" t="str">
        <f>C9</f>
        <v>CCT PB 000047/2021</v>
      </c>
      <c r="D19" s="178">
        <v>1640</v>
      </c>
      <c r="E19" s="22"/>
      <c r="F19" s="22"/>
      <c r="G19" s="22"/>
    </row>
    <row r="20" spans="1:7">
      <c r="A20" s="176">
        <v>4</v>
      </c>
      <c r="B20" s="22" t="s">
        <v>29</v>
      </c>
      <c r="C20" s="177" t="str">
        <f>C9</f>
        <v>CCT PB 000047/2021</v>
      </c>
      <c r="D20" s="177" t="s">
        <v>198</v>
      </c>
      <c r="E20" s="22"/>
      <c r="F20" s="22"/>
      <c r="G20" s="22"/>
    </row>
    <row r="21" spans="1:7">
      <c r="A21" s="176">
        <v>5</v>
      </c>
      <c r="B21" s="22" t="s">
        <v>33</v>
      </c>
      <c r="C21" s="177" t="str">
        <f>C9</f>
        <v>CCT PB 000047/2021</v>
      </c>
      <c r="D21" s="179" t="s">
        <v>199</v>
      </c>
      <c r="E21" s="22"/>
      <c r="F21" s="22"/>
      <c r="G21" s="22"/>
    </row>
    <row r="22" spans="1:7">
      <c r="A22" s="22"/>
      <c r="B22" s="22"/>
      <c r="C22" s="22"/>
      <c r="D22" s="22"/>
      <c r="E22" s="22"/>
      <c r="F22" s="175"/>
      <c r="G22" s="175"/>
    </row>
    <row r="23" spans="1:7">
      <c r="A23" s="159" t="s">
        <v>36</v>
      </c>
      <c r="B23" s="159"/>
      <c r="C23" s="159"/>
      <c r="D23" s="159"/>
      <c r="E23" s="22"/>
      <c r="F23" s="22"/>
      <c r="G23" s="22"/>
    </row>
    <row r="24" spans="1:7">
      <c r="A24" s="176" t="s">
        <v>39</v>
      </c>
      <c r="B24" s="22" t="s">
        <v>40</v>
      </c>
      <c r="C24" s="176" t="s">
        <v>18</v>
      </c>
      <c r="D24" s="176" t="s">
        <v>19</v>
      </c>
      <c r="E24" s="22"/>
      <c r="F24" s="22"/>
      <c r="G24" s="180"/>
    </row>
    <row r="25" spans="1:7">
      <c r="A25" s="176" t="s">
        <v>42</v>
      </c>
      <c r="B25" s="22" t="s">
        <v>43</v>
      </c>
      <c r="C25" s="177" t="s">
        <v>254</v>
      </c>
      <c r="D25" s="178">
        <f>D19</f>
        <v>1640</v>
      </c>
      <c r="E25" s="22"/>
      <c r="F25" s="22"/>
      <c r="G25" s="180"/>
    </row>
    <row r="26" spans="1:7">
      <c r="A26" s="176" t="s">
        <v>45</v>
      </c>
      <c r="B26" s="22" t="s">
        <v>46</v>
      </c>
      <c r="C26" s="177"/>
      <c r="D26" s="178">
        <v>0</v>
      </c>
      <c r="E26" s="22"/>
      <c r="F26" s="22"/>
      <c r="G26" s="180"/>
    </row>
    <row r="27" spans="1:7">
      <c r="A27" s="176" t="s">
        <v>48</v>
      </c>
      <c r="B27" s="22" t="s">
        <v>49</v>
      </c>
      <c r="C27" s="177"/>
      <c r="D27" s="178">
        <v>0</v>
      </c>
      <c r="E27" s="22"/>
      <c r="F27" s="22"/>
      <c r="G27" s="22"/>
    </row>
    <row r="28" spans="1:7">
      <c r="A28" s="176" t="s">
        <v>50</v>
      </c>
      <c r="B28" s="22" t="s">
        <v>51</v>
      </c>
      <c r="C28" s="177"/>
      <c r="D28" s="178">
        <v>0</v>
      </c>
      <c r="E28" s="22"/>
      <c r="F28" s="22"/>
      <c r="G28" s="22"/>
    </row>
    <row r="29" spans="1:7">
      <c r="A29" s="176" t="s">
        <v>53</v>
      </c>
      <c r="B29" s="22" t="s">
        <v>54</v>
      </c>
      <c r="C29" s="177"/>
      <c r="D29" s="178">
        <v>0</v>
      </c>
      <c r="E29" s="22"/>
      <c r="F29" s="22"/>
      <c r="G29" s="22"/>
    </row>
    <row r="30" spans="1:7">
      <c r="A30" s="176" t="s">
        <v>55</v>
      </c>
      <c r="B30" s="22" t="s">
        <v>56</v>
      </c>
      <c r="C30" s="177"/>
      <c r="D30" s="178">
        <v>0</v>
      </c>
      <c r="E30" s="22"/>
      <c r="F30" s="22"/>
      <c r="G30" s="22"/>
    </row>
    <row r="31" spans="1:7">
      <c r="A31" s="176" t="s">
        <v>58</v>
      </c>
      <c r="B31" s="22"/>
      <c r="C31" s="176"/>
      <c r="D31" s="181">
        <f>TRUNC(SUM(D25:D30),2)</f>
        <v>1640</v>
      </c>
      <c r="E31" s="22"/>
      <c r="F31" s="175"/>
      <c r="G31" s="175"/>
    </row>
    <row r="32" spans="1:7">
      <c r="A32" s="22"/>
      <c r="B32" s="22"/>
      <c r="C32" s="22"/>
      <c r="D32" s="22"/>
      <c r="E32" s="22"/>
      <c r="F32" s="22"/>
      <c r="G32" s="22"/>
    </row>
    <row r="33" spans="1:7">
      <c r="A33" s="182" t="s">
        <v>61</v>
      </c>
      <c r="B33" s="182"/>
      <c r="C33" s="182"/>
      <c r="D33" s="182"/>
      <c r="E33" s="22"/>
      <c r="F33" s="22"/>
      <c r="G33" s="180"/>
    </row>
    <row r="34" spans="1:7">
      <c r="A34" s="22"/>
      <c r="B34" s="22"/>
      <c r="C34" s="22"/>
      <c r="D34" s="22"/>
      <c r="E34" s="22"/>
      <c r="F34" s="22"/>
      <c r="G34" s="22"/>
    </row>
    <row r="35" spans="1:7">
      <c r="A35" s="175" t="s">
        <v>63</v>
      </c>
      <c r="B35" s="175"/>
      <c r="C35" s="175"/>
      <c r="D35" s="175"/>
      <c r="E35" s="22"/>
      <c r="F35" s="22"/>
      <c r="G35" s="22"/>
    </row>
    <row r="36" spans="1:7">
      <c r="A36" s="176" t="s">
        <v>65</v>
      </c>
      <c r="B36" s="22" t="s">
        <v>66</v>
      </c>
      <c r="C36" s="176" t="s">
        <v>38</v>
      </c>
      <c r="D36" s="176" t="s">
        <v>19</v>
      </c>
      <c r="E36" s="22"/>
      <c r="F36" s="22"/>
      <c r="G36" s="22"/>
    </row>
    <row r="37" spans="1:7">
      <c r="A37" s="176" t="s">
        <v>42</v>
      </c>
      <c r="B37" s="22" t="s">
        <v>67</v>
      </c>
      <c r="C37" s="183">
        <f>(1/12)</f>
        <v>0.0833333333333333</v>
      </c>
      <c r="D37" s="181">
        <f>TRUNC($D$31*C37,2)</f>
        <v>136.66</v>
      </c>
      <c r="E37" s="22"/>
      <c r="F37" s="184"/>
      <c r="G37" s="184"/>
    </row>
    <row r="38" spans="1:7">
      <c r="A38" s="176" t="s">
        <v>45</v>
      </c>
      <c r="B38" s="22" t="s">
        <v>68</v>
      </c>
      <c r="C38" s="183">
        <f>(((1+1/3)/12))</f>
        <v>0.111111111111111</v>
      </c>
      <c r="D38" s="181">
        <f>TRUNC($D$31*C38,2)</f>
        <v>182.22</v>
      </c>
      <c r="E38" s="22"/>
      <c r="F38" s="184"/>
      <c r="G38" s="184"/>
    </row>
    <row r="39" spans="1:7">
      <c r="A39" s="176" t="s">
        <v>58</v>
      </c>
      <c r="B39" s="22"/>
      <c r="C39" s="22"/>
      <c r="D39" s="181">
        <f>TRUNC((SUM(D37:D38)),2)</f>
        <v>318.88</v>
      </c>
      <c r="E39" s="22"/>
      <c r="F39" s="184"/>
      <c r="G39" s="184"/>
    </row>
    <row r="40" ht="15.75" spans="1:7">
      <c r="A40" s="22"/>
      <c r="B40" s="22"/>
      <c r="C40" s="22"/>
      <c r="D40" s="181"/>
      <c r="E40" s="22"/>
      <c r="F40" s="184"/>
      <c r="G40" s="184"/>
    </row>
    <row r="41" ht="16.5" spans="1:7">
      <c r="A41" s="185" t="s">
        <v>201</v>
      </c>
      <c r="B41" s="185"/>
      <c r="C41" s="186" t="s">
        <v>202</v>
      </c>
      <c r="D41" s="187">
        <f>D31</f>
        <v>1640</v>
      </c>
      <c r="E41" s="22"/>
      <c r="F41" s="184"/>
      <c r="G41" s="184"/>
    </row>
    <row r="42" ht="16.5" spans="1:7">
      <c r="A42" s="185"/>
      <c r="B42" s="185"/>
      <c r="C42" s="188" t="s">
        <v>203</v>
      </c>
      <c r="D42" s="187">
        <f>D39</f>
        <v>318.88</v>
      </c>
      <c r="E42" s="22"/>
      <c r="F42" s="184"/>
      <c r="G42" s="184"/>
    </row>
    <row r="43" ht="16.5" spans="1:7">
      <c r="A43" s="185"/>
      <c r="B43" s="185"/>
      <c r="C43" s="186" t="s">
        <v>204</v>
      </c>
      <c r="D43" s="189">
        <f>TRUNC((SUM(D41:D42)),2)</f>
        <v>1958.88</v>
      </c>
      <c r="E43" s="22"/>
      <c r="F43" s="184"/>
      <c r="G43" s="184"/>
    </row>
    <row r="44" ht="15.75" spans="1:7">
      <c r="A44" s="176"/>
      <c r="B44" s="22"/>
      <c r="C44" s="190"/>
      <c r="D44" s="181"/>
      <c r="E44" s="22"/>
      <c r="F44" s="184"/>
      <c r="G44" s="184"/>
    </row>
    <row r="45" spans="1:7">
      <c r="A45" s="175" t="s">
        <v>77</v>
      </c>
      <c r="B45" s="175"/>
      <c r="C45" s="175"/>
      <c r="D45" s="175"/>
      <c r="E45" s="22"/>
      <c r="F45" s="22"/>
      <c r="G45" s="22"/>
    </row>
    <row r="46" spans="1:7">
      <c r="A46" s="176" t="s">
        <v>78</v>
      </c>
      <c r="B46" s="22" t="s">
        <v>79</v>
      </c>
      <c r="C46" s="176" t="s">
        <v>38</v>
      </c>
      <c r="D46" s="176" t="s">
        <v>80</v>
      </c>
      <c r="E46" s="22"/>
      <c r="F46" s="22"/>
      <c r="G46" s="22"/>
    </row>
    <row r="47" spans="1:7">
      <c r="A47" s="176" t="s">
        <v>42</v>
      </c>
      <c r="B47" s="22" t="s">
        <v>81</v>
      </c>
      <c r="C47" s="183">
        <v>0.2</v>
      </c>
      <c r="D47" s="181">
        <f>TRUNC(($D$43*C47),2)</f>
        <v>391.77</v>
      </c>
      <c r="E47" s="22"/>
      <c r="F47" s="22"/>
      <c r="G47" s="22"/>
    </row>
    <row r="48" spans="1:7">
      <c r="A48" s="176" t="s">
        <v>45</v>
      </c>
      <c r="B48" s="22" t="s">
        <v>82</v>
      </c>
      <c r="C48" s="183">
        <v>0.025</v>
      </c>
      <c r="D48" s="181">
        <f>TRUNC(($D$43*C48),2)</f>
        <v>48.97</v>
      </c>
      <c r="E48" s="22"/>
      <c r="F48" s="22"/>
      <c r="G48" s="22"/>
    </row>
    <row r="49" spans="1:7">
      <c r="A49" s="176" t="s">
        <v>48</v>
      </c>
      <c r="B49" s="22" t="s">
        <v>205</v>
      </c>
      <c r="C49" s="191">
        <v>0.06</v>
      </c>
      <c r="D49" s="178">
        <f>TRUNC(($D$43*C49),2)</f>
        <v>117.53</v>
      </c>
      <c r="E49" s="22"/>
      <c r="F49" s="22"/>
      <c r="G49" s="22"/>
    </row>
    <row r="50" spans="1:7">
      <c r="A50" s="176" t="s">
        <v>50</v>
      </c>
      <c r="B50" s="22" t="s">
        <v>84</v>
      </c>
      <c r="C50" s="183">
        <v>0.015</v>
      </c>
      <c r="D50" s="181">
        <f t="shared" ref="D47:D54" si="0">TRUNC(($D$43*C50),2)</f>
        <v>29.38</v>
      </c>
      <c r="E50" s="22"/>
      <c r="F50" s="22"/>
      <c r="G50" s="22"/>
    </row>
    <row r="51" spans="1:7">
      <c r="A51" s="176" t="s">
        <v>53</v>
      </c>
      <c r="B51" s="22" t="s">
        <v>85</v>
      </c>
      <c r="C51" s="183">
        <v>0.01</v>
      </c>
      <c r="D51" s="181">
        <f t="shared" si="0"/>
        <v>19.58</v>
      </c>
      <c r="E51" s="22"/>
      <c r="F51" s="22"/>
      <c r="G51" s="22"/>
    </row>
    <row r="52" spans="1:7">
      <c r="A52" s="176" t="s">
        <v>55</v>
      </c>
      <c r="B52" s="22" t="s">
        <v>86</v>
      </c>
      <c r="C52" s="183">
        <v>0.006</v>
      </c>
      <c r="D52" s="181">
        <f t="shared" si="0"/>
        <v>11.75</v>
      </c>
      <c r="E52" s="22"/>
      <c r="F52" s="22"/>
      <c r="G52" s="22"/>
    </row>
    <row r="53" spans="1:7">
      <c r="A53" s="176" t="s">
        <v>87</v>
      </c>
      <c r="B53" s="22" t="s">
        <v>88</v>
      </c>
      <c r="C53" s="183">
        <v>0.002</v>
      </c>
      <c r="D53" s="181">
        <f t="shared" si="0"/>
        <v>3.91</v>
      </c>
      <c r="E53" s="22"/>
      <c r="F53" s="22"/>
      <c r="G53" s="22"/>
    </row>
    <row r="54" spans="1:7">
      <c r="A54" s="176" t="s">
        <v>89</v>
      </c>
      <c r="B54" s="22" t="s">
        <v>90</v>
      </c>
      <c r="C54" s="183">
        <v>0.08</v>
      </c>
      <c r="D54" s="181">
        <f t="shared" si="0"/>
        <v>156.71</v>
      </c>
      <c r="E54" s="22"/>
      <c r="F54" s="22"/>
      <c r="G54" s="22"/>
    </row>
    <row r="55" spans="1:7">
      <c r="A55" s="176" t="s">
        <v>58</v>
      </c>
      <c r="B55" s="22"/>
      <c r="C55" s="190">
        <f>SUM(C47:C54)</f>
        <v>0.398</v>
      </c>
      <c r="D55" s="181">
        <f>TRUNC((SUM(D47:D54)),2)</f>
        <v>779.6</v>
      </c>
      <c r="E55" s="22"/>
      <c r="F55" s="22"/>
      <c r="G55" s="22"/>
    </row>
    <row r="56" spans="1:7">
      <c r="A56" s="176"/>
      <c r="B56" s="22"/>
      <c r="C56" s="190"/>
      <c r="D56" s="181"/>
      <c r="E56" s="22"/>
      <c r="F56" s="22"/>
      <c r="G56" s="22"/>
    </row>
    <row r="57" spans="1:7">
      <c r="A57" s="175" t="s">
        <v>95</v>
      </c>
      <c r="B57" s="175"/>
      <c r="C57" s="175"/>
      <c r="D57" s="175"/>
      <c r="E57" s="22"/>
      <c r="F57" s="22"/>
      <c r="G57" s="22"/>
    </row>
    <row r="58" spans="1:7">
      <c r="A58" s="176" t="s">
        <v>96</v>
      </c>
      <c r="B58" s="22" t="s">
        <v>97</v>
      </c>
      <c r="C58" s="176" t="s">
        <v>18</v>
      </c>
      <c r="D58" s="176" t="s">
        <v>19</v>
      </c>
      <c r="E58" s="22"/>
      <c r="F58" s="22"/>
      <c r="G58" s="22"/>
    </row>
    <row r="59" spans="1:7">
      <c r="A59" s="176" t="s">
        <v>42</v>
      </c>
      <c r="B59" s="22" t="s">
        <v>98</v>
      </c>
      <c r="C59" s="177"/>
      <c r="D59" s="178">
        <f>TRUNC(((22*4.35)*2)-((D25/100)*6),2)</f>
        <v>93</v>
      </c>
      <c r="E59" s="22"/>
      <c r="F59" s="22"/>
      <c r="G59" s="22"/>
    </row>
    <row r="60" spans="1:7">
      <c r="A60" s="176" t="s">
        <v>45</v>
      </c>
      <c r="B60" s="22" t="s">
        <v>99</v>
      </c>
      <c r="C60" s="177" t="str">
        <f>C9</f>
        <v>CCT PB 000047/2021</v>
      </c>
      <c r="D60" s="178">
        <f>TRUNC((((22*18))-(((22*18))*0.2)),2)</f>
        <v>316.8</v>
      </c>
      <c r="E60" s="22"/>
      <c r="F60" s="22"/>
      <c r="G60" s="22"/>
    </row>
    <row r="61" spans="1:7">
      <c r="A61" s="176" t="s">
        <v>48</v>
      </c>
      <c r="B61" s="22" t="s">
        <v>100</v>
      </c>
      <c r="C61" s="177"/>
      <c r="D61" s="178">
        <v>0</v>
      </c>
      <c r="E61" s="22"/>
      <c r="F61" s="22"/>
      <c r="G61" s="22"/>
    </row>
    <row r="62" spans="1:7">
      <c r="A62" s="192" t="s">
        <v>50</v>
      </c>
      <c r="B62" s="193" t="s">
        <v>251</v>
      </c>
      <c r="C62" s="194"/>
      <c r="D62" s="194">
        <v>0</v>
      </c>
      <c r="E62" s="22"/>
      <c r="F62" s="193"/>
      <c r="G62" s="22"/>
    </row>
    <row r="63" spans="1:7">
      <c r="A63" s="176" t="s">
        <v>53</v>
      </c>
      <c r="B63" s="22" t="s">
        <v>207</v>
      </c>
      <c r="C63" s="177" t="str">
        <f>C9</f>
        <v>CCT PB 000047/2021</v>
      </c>
      <c r="D63" s="195">
        <v>15</v>
      </c>
      <c r="E63" s="22"/>
      <c r="F63" s="22"/>
      <c r="G63" s="22"/>
    </row>
    <row r="64" spans="1:7">
      <c r="A64" s="176" t="s">
        <v>55</v>
      </c>
      <c r="B64" s="196" t="s">
        <v>208</v>
      </c>
      <c r="C64" s="194" t="str">
        <f>C9</f>
        <v>CCT PB 000047/2021</v>
      </c>
      <c r="D64" s="195">
        <v>5</v>
      </c>
      <c r="E64" s="22"/>
      <c r="F64" s="22"/>
      <c r="G64" s="22"/>
    </row>
    <row r="65" spans="1:7">
      <c r="A65" s="176" t="s">
        <v>58</v>
      </c>
      <c r="B65" s="22"/>
      <c r="C65" s="22"/>
      <c r="D65" s="181">
        <f>TRUNC((SUM(D59:D64)),2)</f>
        <v>429.8</v>
      </c>
      <c r="E65" s="22"/>
      <c r="F65" s="22"/>
      <c r="G65" s="22"/>
    </row>
    <row r="66" spans="1:7">
      <c r="A66" s="176"/>
      <c r="B66" s="22"/>
      <c r="C66" s="22"/>
      <c r="D66" s="181"/>
      <c r="E66" s="22"/>
      <c r="F66" s="22"/>
      <c r="G66" s="22"/>
    </row>
    <row r="67" spans="1:7">
      <c r="A67" s="175" t="s">
        <v>105</v>
      </c>
      <c r="B67" s="175"/>
      <c r="C67" s="175"/>
      <c r="D67" s="175"/>
      <c r="E67" s="22"/>
      <c r="F67" s="22"/>
      <c r="G67" s="22"/>
    </row>
    <row r="68" spans="1:7">
      <c r="A68" s="176" t="s">
        <v>106</v>
      </c>
      <c r="B68" s="22" t="s">
        <v>107</v>
      </c>
      <c r="C68" s="176" t="s">
        <v>18</v>
      </c>
      <c r="D68" s="176" t="s">
        <v>19</v>
      </c>
      <c r="E68" s="22"/>
      <c r="F68" s="22"/>
      <c r="G68" s="22"/>
    </row>
    <row r="69" spans="1:7">
      <c r="A69" s="176" t="s">
        <v>65</v>
      </c>
      <c r="B69" s="22" t="s">
        <v>66</v>
      </c>
      <c r="C69" s="176"/>
      <c r="D69" s="181">
        <f>D39</f>
        <v>318.88</v>
      </c>
      <c r="E69" s="22"/>
      <c r="F69" s="22"/>
      <c r="G69" s="22"/>
    </row>
    <row r="70" spans="1:7">
      <c r="A70" s="176" t="s">
        <v>78</v>
      </c>
      <c r="B70" s="22" t="s">
        <v>79</v>
      </c>
      <c r="C70" s="176"/>
      <c r="D70" s="181">
        <f>D55</f>
        <v>779.6</v>
      </c>
      <c r="E70" s="22"/>
      <c r="F70" s="22"/>
      <c r="G70" s="22"/>
    </row>
    <row r="71" spans="1:7">
      <c r="A71" s="176" t="s">
        <v>96</v>
      </c>
      <c r="B71" s="22" t="s">
        <v>97</v>
      </c>
      <c r="C71" s="176"/>
      <c r="D71" s="181">
        <f>D65</f>
        <v>429.8</v>
      </c>
      <c r="E71" s="22"/>
      <c r="F71" s="22"/>
      <c r="G71" s="22"/>
    </row>
    <row r="72" spans="1:7">
      <c r="A72" s="176" t="s">
        <v>58</v>
      </c>
      <c r="B72" s="22"/>
      <c r="C72" s="176"/>
      <c r="D72" s="181">
        <f>TRUNC(SUM(D69:D71),2)</f>
        <v>1528.28</v>
      </c>
      <c r="E72" s="22"/>
      <c r="F72" s="22"/>
      <c r="G72" s="22"/>
    </row>
    <row r="73" spans="1:7">
      <c r="A73" s="22"/>
      <c r="B73" s="22"/>
      <c r="C73" s="22"/>
      <c r="D73" s="22"/>
      <c r="E73" s="22"/>
      <c r="F73" s="22"/>
      <c r="G73" s="22"/>
    </row>
    <row r="74" spans="1:7">
      <c r="A74" s="159" t="s">
        <v>108</v>
      </c>
      <c r="B74" s="159"/>
      <c r="C74" s="159"/>
      <c r="D74" s="159"/>
      <c r="E74" s="22"/>
      <c r="F74" s="22"/>
      <c r="G74" s="22"/>
    </row>
    <row r="75" spans="1:7">
      <c r="A75" s="176" t="s">
        <v>109</v>
      </c>
      <c r="B75" s="22" t="s">
        <v>110</v>
      </c>
      <c r="C75" s="176" t="s">
        <v>38</v>
      </c>
      <c r="D75" s="176" t="s">
        <v>19</v>
      </c>
      <c r="E75" s="22"/>
      <c r="F75" s="22"/>
      <c r="G75" s="22"/>
    </row>
    <row r="76" spans="1:7">
      <c r="A76" s="176" t="s">
        <v>42</v>
      </c>
      <c r="B76" s="22" t="s">
        <v>111</v>
      </c>
      <c r="C76" s="191">
        <f>((1/12)*5%)</f>
        <v>0.00416666666666667</v>
      </c>
      <c r="D76" s="178">
        <f t="shared" ref="D76:D79" si="1">TRUNC(($D$31*C76),2)</f>
        <v>6.83</v>
      </c>
      <c r="E76" s="22"/>
      <c r="F76" s="22"/>
      <c r="G76" s="22"/>
    </row>
    <row r="77" spans="1:7">
      <c r="A77" s="176" t="s">
        <v>45</v>
      </c>
      <c r="B77" s="22" t="s">
        <v>112</v>
      </c>
      <c r="C77" s="197">
        <v>0.08</v>
      </c>
      <c r="D77" s="181">
        <f>TRUNC(($D$76*C77),2)</f>
        <v>0.54</v>
      </c>
      <c r="E77" s="22"/>
      <c r="F77" s="22"/>
      <c r="G77" s="22"/>
    </row>
    <row r="78" ht="30" spans="1:7">
      <c r="A78" s="176" t="s">
        <v>48</v>
      </c>
      <c r="B78" s="198" t="s">
        <v>113</v>
      </c>
      <c r="C78" s="199">
        <f>(0.08*0.4*0.05)</f>
        <v>0.0016</v>
      </c>
      <c r="D78" s="194">
        <f t="shared" si="1"/>
        <v>2.62</v>
      </c>
      <c r="E78" s="22"/>
      <c r="F78" s="22"/>
      <c r="G78" s="22"/>
    </row>
    <row r="79" spans="1:7">
      <c r="A79" s="176" t="s">
        <v>50</v>
      </c>
      <c r="B79" s="22" t="s">
        <v>114</v>
      </c>
      <c r="C79" s="200">
        <f>(((7/30)/12)*0.95)</f>
        <v>0.0184722222222222</v>
      </c>
      <c r="D79" s="201">
        <f t="shared" si="1"/>
        <v>30.29</v>
      </c>
      <c r="E79" s="22"/>
      <c r="F79" s="22"/>
      <c r="G79" s="22"/>
    </row>
    <row r="80" ht="30" spans="1:7">
      <c r="A80" s="176" t="s">
        <v>53</v>
      </c>
      <c r="B80" s="198" t="s">
        <v>209</v>
      </c>
      <c r="C80" s="199">
        <f>C55</f>
        <v>0.398</v>
      </c>
      <c r="D80" s="194">
        <f>TRUNC(($D$79*C80),2)</f>
        <v>12.05</v>
      </c>
      <c r="E80" s="22"/>
      <c r="F80" s="22"/>
      <c r="G80" s="22"/>
    </row>
    <row r="81" ht="30" spans="1:7">
      <c r="A81" s="176" t="s">
        <v>55</v>
      </c>
      <c r="B81" s="198" t="s">
        <v>115</v>
      </c>
      <c r="C81" s="199">
        <f>(0.08*0.4*0.95)</f>
        <v>0.0304</v>
      </c>
      <c r="D81" s="194">
        <f>TRUNC(($D$31*C81),2)</f>
        <v>49.85</v>
      </c>
      <c r="E81" s="22"/>
      <c r="F81" s="22"/>
      <c r="G81" s="22"/>
    </row>
    <row r="82" spans="1:7">
      <c r="A82" s="176" t="s">
        <v>58</v>
      </c>
      <c r="B82" s="22"/>
      <c r="C82" s="197">
        <f>SUM(C76:C81)</f>
        <v>0.532638888888889</v>
      </c>
      <c r="D82" s="181">
        <f>TRUNC((SUM(D76:D81)),2)</f>
        <v>102.18</v>
      </c>
      <c r="E82" s="22"/>
      <c r="F82" s="22"/>
      <c r="G82" s="22"/>
    </row>
    <row r="83" ht="15.75" spans="1:7">
      <c r="A83" s="176"/>
      <c r="B83" s="22"/>
      <c r="C83" s="22"/>
      <c r="D83" s="181"/>
      <c r="E83" s="22"/>
      <c r="F83" s="22"/>
      <c r="G83" s="22"/>
    </row>
    <row r="84" ht="16.5" spans="1:7">
      <c r="A84" s="185" t="s">
        <v>210</v>
      </c>
      <c r="B84" s="185"/>
      <c r="C84" s="186" t="s">
        <v>202</v>
      </c>
      <c r="D84" s="187">
        <f>D31</f>
        <v>1640</v>
      </c>
      <c r="E84" s="22"/>
      <c r="F84" s="22"/>
      <c r="G84" s="22"/>
    </row>
    <row r="85" ht="16.5" spans="1:7">
      <c r="A85" s="185"/>
      <c r="B85" s="185"/>
      <c r="C85" s="188" t="s">
        <v>211</v>
      </c>
      <c r="D85" s="187">
        <f>D72</f>
        <v>1528.28</v>
      </c>
      <c r="E85" s="22"/>
      <c r="F85" s="22"/>
      <c r="G85" s="22"/>
    </row>
    <row r="86" ht="16.5" spans="1:7">
      <c r="A86" s="185"/>
      <c r="B86" s="185"/>
      <c r="C86" s="186" t="s">
        <v>212</v>
      </c>
      <c r="D86" s="187">
        <f>D82</f>
        <v>102.18</v>
      </c>
      <c r="E86" s="22"/>
      <c r="F86" s="22"/>
      <c r="G86" s="22"/>
    </row>
    <row r="87" ht="16.5" spans="1:7">
      <c r="A87" s="185"/>
      <c r="B87" s="185"/>
      <c r="C87" s="188" t="s">
        <v>204</v>
      </c>
      <c r="D87" s="189">
        <f>TRUNC((SUM(D84:D86)),2)</f>
        <v>3270.46</v>
      </c>
      <c r="E87" s="22"/>
      <c r="F87" s="22"/>
      <c r="G87" s="22"/>
    </row>
    <row r="88" ht="15.75" spans="1:7">
      <c r="A88" s="176"/>
      <c r="B88" s="22"/>
      <c r="C88" s="22"/>
      <c r="D88" s="181"/>
      <c r="E88" s="22"/>
      <c r="F88" s="22"/>
      <c r="G88" s="22"/>
    </row>
    <row r="89" spans="1:7">
      <c r="A89" s="202" t="s">
        <v>127</v>
      </c>
      <c r="B89" s="202"/>
      <c r="C89" s="202"/>
      <c r="D89" s="202"/>
      <c r="E89" s="22"/>
      <c r="F89" s="22"/>
      <c r="G89" s="22"/>
    </row>
    <row r="90" spans="1:7">
      <c r="A90" s="175" t="s">
        <v>128</v>
      </c>
      <c r="B90" s="175"/>
      <c r="C90" s="175"/>
      <c r="D90" s="175"/>
      <c r="E90" s="22"/>
      <c r="F90" s="22"/>
      <c r="G90" s="22"/>
    </row>
    <row r="91" spans="1:7">
      <c r="A91" s="176" t="s">
        <v>129</v>
      </c>
      <c r="B91" s="22" t="s">
        <v>130</v>
      </c>
      <c r="C91" s="176" t="s">
        <v>38</v>
      </c>
      <c r="D91" s="176" t="s">
        <v>19</v>
      </c>
      <c r="E91" s="22"/>
      <c r="F91" s="22"/>
      <c r="G91" s="22"/>
    </row>
    <row r="92" spans="1:7">
      <c r="A92" s="176" t="s">
        <v>42</v>
      </c>
      <c r="B92" s="22" t="s">
        <v>213</v>
      </c>
      <c r="C92" s="197">
        <f>(((1+1/3)/12)/12)+((1/12)/12)</f>
        <v>0.0162037037037037</v>
      </c>
      <c r="D92" s="181">
        <f t="shared" ref="D92:D96" si="2">TRUNC(($D$87*C92),2)</f>
        <v>52.99</v>
      </c>
      <c r="E92" s="22"/>
      <c r="F92" s="22"/>
      <c r="G92" s="22"/>
    </row>
    <row r="93" spans="1:7">
      <c r="A93" s="176" t="s">
        <v>45</v>
      </c>
      <c r="B93" s="22" t="s">
        <v>133</v>
      </c>
      <c r="C93" s="191">
        <f>((2/30)/12)</f>
        <v>0.00555555555555556</v>
      </c>
      <c r="D93" s="194">
        <f t="shared" si="2"/>
        <v>18.16</v>
      </c>
      <c r="E93" s="22"/>
      <c r="F93" s="22"/>
      <c r="G93" s="22"/>
    </row>
    <row r="94" spans="1:7">
      <c r="A94" s="176" t="s">
        <v>48</v>
      </c>
      <c r="B94" s="22" t="s">
        <v>134</v>
      </c>
      <c r="C94" s="191">
        <f>((5/30)/12)*0.02</f>
        <v>0.000277777777777778</v>
      </c>
      <c r="D94" s="194">
        <f t="shared" si="2"/>
        <v>0.9</v>
      </c>
      <c r="E94" s="22"/>
      <c r="F94" s="22"/>
      <c r="G94" s="22"/>
    </row>
    <row r="95" ht="30" spans="1:7">
      <c r="A95" s="192" t="s">
        <v>50</v>
      </c>
      <c r="B95" s="198" t="s">
        <v>135</v>
      </c>
      <c r="C95" s="199">
        <f>((15/30)/12)*0.08</f>
        <v>0.00333333333333333</v>
      </c>
      <c r="D95" s="194">
        <f t="shared" si="2"/>
        <v>10.9</v>
      </c>
      <c r="E95" s="22"/>
      <c r="F95" s="22"/>
      <c r="G95" s="22"/>
    </row>
    <row r="96" spans="1:7">
      <c r="A96" s="176" t="s">
        <v>53</v>
      </c>
      <c r="B96" s="22" t="s">
        <v>136</v>
      </c>
      <c r="C96" s="191">
        <f>((1+1/3)/12)*0.03*((4/12))</f>
        <v>0.00111111111111111</v>
      </c>
      <c r="D96" s="194">
        <f t="shared" si="2"/>
        <v>3.63</v>
      </c>
      <c r="E96" s="22"/>
      <c r="F96" s="22"/>
      <c r="G96" s="22"/>
    </row>
    <row r="97" ht="30" spans="1:7">
      <c r="A97" s="176" t="s">
        <v>55</v>
      </c>
      <c r="B97" s="198" t="s">
        <v>214</v>
      </c>
      <c r="C97" s="203">
        <v>0</v>
      </c>
      <c r="D97" s="194">
        <f>TRUNC($D$87*C97)</f>
        <v>0</v>
      </c>
      <c r="E97" s="22"/>
      <c r="F97" s="22"/>
      <c r="G97" s="22"/>
    </row>
    <row r="98" spans="1:7">
      <c r="A98" s="176" t="s">
        <v>58</v>
      </c>
      <c r="B98" s="22"/>
      <c r="C98" s="197">
        <f>SUM(C92:C97)</f>
        <v>0.0264814814814815</v>
      </c>
      <c r="D98" s="181">
        <f>TRUNC((SUM(D92:D97)),2)</f>
        <v>86.58</v>
      </c>
      <c r="E98" s="22"/>
      <c r="F98" s="22"/>
      <c r="G98" s="22"/>
    </row>
    <row r="99" spans="1:7">
      <c r="A99" s="176"/>
      <c r="B99" s="22"/>
      <c r="C99" s="176"/>
      <c r="D99" s="181"/>
      <c r="E99" s="22"/>
      <c r="F99" s="22"/>
      <c r="G99" s="22"/>
    </row>
    <row r="100" spans="1:7">
      <c r="A100" s="175" t="s">
        <v>144</v>
      </c>
      <c r="B100" s="175"/>
      <c r="C100" s="175"/>
      <c r="D100" s="175"/>
      <c r="E100" s="22"/>
      <c r="F100" s="22"/>
      <c r="G100" s="22"/>
    </row>
    <row r="101" spans="1:7">
      <c r="A101" s="176" t="s">
        <v>145</v>
      </c>
      <c r="B101" s="22" t="s">
        <v>146</v>
      </c>
      <c r="C101" s="176" t="s">
        <v>18</v>
      </c>
      <c r="D101" s="176" t="s">
        <v>19</v>
      </c>
      <c r="E101" s="22"/>
      <c r="F101" s="22"/>
      <c r="G101" s="22"/>
    </row>
    <row r="102" ht="105" spans="1:7">
      <c r="A102" s="192" t="s">
        <v>42</v>
      </c>
      <c r="B102" s="204" t="s">
        <v>147</v>
      </c>
      <c r="C102" s="205" t="s">
        <v>215</v>
      </c>
      <c r="D102" s="206" t="s">
        <v>216</v>
      </c>
      <c r="E102" s="22"/>
      <c r="F102" s="22"/>
      <c r="G102" s="22"/>
    </row>
    <row r="103" spans="1:7">
      <c r="A103" s="176" t="s">
        <v>58</v>
      </c>
      <c r="B103" s="22"/>
      <c r="C103" s="176"/>
      <c r="D103" s="207" t="str">
        <f>D102</f>
        <v>*=TRUNCAR(($D$86/220)*(1*(365/12))/2)</v>
      </c>
      <c r="E103" s="22"/>
      <c r="F103" s="22"/>
      <c r="G103" s="22"/>
    </row>
    <row r="104" spans="1:7">
      <c r="A104" s="22"/>
      <c r="B104" s="22"/>
      <c r="C104" s="22"/>
      <c r="D104" s="22"/>
      <c r="E104" s="22"/>
      <c r="F104" s="22"/>
      <c r="G104" s="22"/>
    </row>
    <row r="105" spans="1:7">
      <c r="A105" s="175" t="s">
        <v>148</v>
      </c>
      <c r="B105" s="175"/>
      <c r="C105" s="175"/>
      <c r="D105" s="175"/>
      <c r="E105" s="22"/>
      <c r="F105" s="22"/>
      <c r="G105" s="22"/>
    </row>
    <row r="106" spans="1:7">
      <c r="A106" s="176" t="s">
        <v>149</v>
      </c>
      <c r="B106" s="22" t="s">
        <v>150</v>
      </c>
      <c r="C106" s="176" t="s">
        <v>18</v>
      </c>
      <c r="D106" s="176" t="s">
        <v>19</v>
      </c>
      <c r="E106" s="22"/>
      <c r="F106" s="22"/>
      <c r="G106" s="22"/>
    </row>
    <row r="107" spans="1:7">
      <c r="A107" s="176" t="s">
        <v>129</v>
      </c>
      <c r="B107" s="22" t="s">
        <v>130</v>
      </c>
      <c r="C107" s="22"/>
      <c r="D107" s="178">
        <f>D98</f>
        <v>86.58</v>
      </c>
      <c r="E107" s="22"/>
      <c r="F107" s="22"/>
      <c r="G107" s="22"/>
    </row>
    <row r="108" spans="1:7">
      <c r="A108" s="176" t="s">
        <v>145</v>
      </c>
      <c r="B108" s="22" t="s">
        <v>151</v>
      </c>
      <c r="C108" s="22"/>
      <c r="D108" s="208" t="str">
        <f>Submódulo4.260_8120102[[#Totals],[Valor]]</f>
        <v>*=TRUNCAR(($D$86/220)*(1*(365/12))/2)</v>
      </c>
      <c r="E108" s="22"/>
      <c r="F108" s="22"/>
      <c r="G108" s="22"/>
    </row>
    <row r="109" ht="75" spans="1:7">
      <c r="A109" s="192" t="s">
        <v>58</v>
      </c>
      <c r="B109" s="193"/>
      <c r="C109" s="205" t="s">
        <v>217</v>
      </c>
      <c r="D109" s="209">
        <f>TRUNC((SUM(D107:D108)),2)</f>
        <v>86.58</v>
      </c>
      <c r="E109" s="22"/>
      <c r="F109" s="22"/>
      <c r="G109" s="22"/>
    </row>
    <row r="110" spans="1:7">
      <c r="A110" s="22"/>
      <c r="B110" s="22"/>
      <c r="C110" s="22"/>
      <c r="D110" s="22"/>
      <c r="E110" s="22"/>
      <c r="F110" s="22"/>
      <c r="G110" s="22"/>
    </row>
    <row r="111" spans="1:7">
      <c r="A111" s="159" t="s">
        <v>152</v>
      </c>
      <c r="B111" s="159"/>
      <c r="C111" s="159"/>
      <c r="D111" s="159"/>
      <c r="E111" s="22"/>
      <c r="F111" s="22"/>
      <c r="G111" s="22"/>
    </row>
    <row r="112" spans="1:7">
      <c r="A112" s="176" t="s">
        <v>153</v>
      </c>
      <c r="B112" s="22" t="s">
        <v>154</v>
      </c>
      <c r="C112" s="176" t="s">
        <v>18</v>
      </c>
      <c r="D112" s="176" t="s">
        <v>19</v>
      </c>
      <c r="E112" s="22"/>
      <c r="F112" s="22"/>
      <c r="G112" s="22"/>
    </row>
    <row r="113" spans="1:7">
      <c r="A113" s="176" t="s">
        <v>42</v>
      </c>
      <c r="B113" s="22" t="s">
        <v>218</v>
      </c>
      <c r="C113" s="22"/>
      <c r="D113" s="178">
        <f>Uniformes!G91</f>
        <v>100.5</v>
      </c>
      <c r="E113" s="22"/>
      <c r="F113" s="22"/>
      <c r="G113" s="22"/>
    </row>
    <row r="114" spans="1:7">
      <c r="A114" s="176" t="s">
        <v>45</v>
      </c>
      <c r="B114" s="22" t="s">
        <v>219</v>
      </c>
      <c r="C114" s="22"/>
      <c r="D114" s="178">
        <f>EPC!E21</f>
        <v>8.44</v>
      </c>
      <c r="E114" s="22"/>
      <c r="F114" s="22"/>
      <c r="G114" s="22"/>
    </row>
    <row r="115" spans="1:7">
      <c r="A115" s="176" t="s">
        <v>48</v>
      </c>
      <c r="B115" s="22" t="s">
        <v>156</v>
      </c>
      <c r="C115" s="86"/>
      <c r="D115" s="178">
        <f>'Materiais e Equipamentos'!E85</f>
        <v>236.69</v>
      </c>
      <c r="E115" s="22"/>
      <c r="F115" s="22"/>
      <c r="G115" s="22"/>
    </row>
    <row r="116" spans="1:7">
      <c r="A116" s="176" t="s">
        <v>50</v>
      </c>
      <c r="B116" s="22" t="s">
        <v>157</v>
      </c>
      <c r="C116" s="86"/>
      <c r="D116" s="178">
        <f>'Materiais e Equipamentos'!F116</f>
        <v>41.18</v>
      </c>
      <c r="E116" s="22"/>
      <c r="F116" s="22"/>
      <c r="G116" s="22"/>
    </row>
    <row r="117" spans="1:7">
      <c r="A117" s="176" t="s">
        <v>53</v>
      </c>
      <c r="B117" s="22" t="s">
        <v>56</v>
      </c>
      <c r="C117" s="22"/>
      <c r="D117" s="178">
        <f>H116</f>
        <v>0</v>
      </c>
      <c r="E117" s="22"/>
      <c r="F117" s="22"/>
      <c r="G117" s="22"/>
    </row>
    <row r="118" spans="1:7">
      <c r="A118" s="176" t="s">
        <v>58</v>
      </c>
      <c r="B118" s="22"/>
      <c r="C118" s="22"/>
      <c r="D118" s="181">
        <f>TRUNC(SUM((D113:D117)),2)</f>
        <v>386.81</v>
      </c>
      <c r="E118" s="22"/>
      <c r="F118" s="22"/>
      <c r="G118" s="22"/>
    </row>
    <row r="119" ht="15.75" spans="1:7">
      <c r="A119" s="22"/>
      <c r="B119" s="22"/>
      <c r="C119" s="22"/>
      <c r="D119" s="22"/>
      <c r="E119" s="22"/>
      <c r="F119" s="22"/>
      <c r="G119" s="22"/>
    </row>
    <row r="120" ht="16.5" spans="1:7">
      <c r="A120" s="185" t="s">
        <v>221</v>
      </c>
      <c r="B120" s="185"/>
      <c r="C120" s="186" t="s">
        <v>202</v>
      </c>
      <c r="D120" s="187">
        <f>D31</f>
        <v>1640</v>
      </c>
      <c r="E120" s="22"/>
      <c r="F120" s="22"/>
      <c r="G120" s="22"/>
    </row>
    <row r="121" ht="16.5" spans="1:7">
      <c r="A121" s="185"/>
      <c r="B121" s="185"/>
      <c r="C121" s="188" t="s">
        <v>211</v>
      </c>
      <c r="D121" s="187">
        <f>D72</f>
        <v>1528.28</v>
      </c>
      <c r="E121" s="22"/>
      <c r="F121" s="22"/>
      <c r="G121" s="22"/>
    </row>
    <row r="122" ht="16.5" spans="1:7">
      <c r="A122" s="185"/>
      <c r="B122" s="185"/>
      <c r="C122" s="186" t="s">
        <v>212</v>
      </c>
      <c r="D122" s="187">
        <f>D82</f>
        <v>102.18</v>
      </c>
      <c r="E122" s="22"/>
      <c r="F122" s="22"/>
      <c r="G122" s="22"/>
    </row>
    <row r="123" ht="16.5" spans="1:7">
      <c r="A123" s="185"/>
      <c r="B123" s="185"/>
      <c r="C123" s="188" t="s">
        <v>222</v>
      </c>
      <c r="D123" s="187">
        <f>D109</f>
        <v>86.58</v>
      </c>
      <c r="E123" s="22"/>
      <c r="F123" s="22"/>
      <c r="G123" s="22"/>
    </row>
    <row r="124" ht="16.5" spans="1:7">
      <c r="A124" s="185"/>
      <c r="B124" s="185"/>
      <c r="C124" s="186" t="s">
        <v>223</v>
      </c>
      <c r="D124" s="187">
        <f>D118</f>
        <v>386.81</v>
      </c>
      <c r="E124" s="22"/>
      <c r="F124" s="22"/>
      <c r="G124" s="22"/>
    </row>
    <row r="125" ht="16.5" spans="1:7">
      <c r="A125" s="185"/>
      <c r="B125" s="185"/>
      <c r="C125" s="188" t="s">
        <v>204</v>
      </c>
      <c r="D125" s="189">
        <f>TRUNC((SUM(D120:D124)),2)</f>
        <v>3743.85</v>
      </c>
      <c r="E125" s="22"/>
      <c r="F125" s="22"/>
      <c r="G125" s="22"/>
    </row>
    <row r="126" ht="15.75" spans="1:7">
      <c r="A126" s="22"/>
      <c r="B126" s="22"/>
      <c r="C126" s="22"/>
      <c r="D126" s="22"/>
      <c r="E126" s="22"/>
      <c r="F126" s="22"/>
      <c r="G126" s="22"/>
    </row>
    <row r="127" spans="1:7">
      <c r="A127" s="159" t="s">
        <v>164</v>
      </c>
      <c r="B127" s="159"/>
      <c r="C127" s="159"/>
      <c r="D127" s="159"/>
      <c r="E127" s="22"/>
      <c r="F127" s="22"/>
      <c r="G127" s="22"/>
    </row>
    <row r="128" ht="15.75" spans="1:7">
      <c r="A128" s="176" t="s">
        <v>165</v>
      </c>
      <c r="B128" s="22" t="s">
        <v>166</v>
      </c>
      <c r="C128" s="176" t="s">
        <v>38</v>
      </c>
      <c r="D128" s="176" t="s">
        <v>19</v>
      </c>
      <c r="E128" s="22"/>
      <c r="F128" s="210" t="s">
        <v>224</v>
      </c>
      <c r="G128" s="210"/>
    </row>
    <row r="129" ht="15.75" spans="1:7">
      <c r="A129" s="176" t="s">
        <v>42</v>
      </c>
      <c r="B129" s="22" t="s">
        <v>167</v>
      </c>
      <c r="C129" s="191">
        <v>0.044</v>
      </c>
      <c r="D129" s="178">
        <f>TRUNC(($D$125*C129),2)</f>
        <v>164.72</v>
      </c>
      <c r="E129" s="22"/>
      <c r="F129" s="211" t="s">
        <v>225</v>
      </c>
      <c r="G129" s="199">
        <f>C131</f>
        <v>0.0865</v>
      </c>
    </row>
    <row r="130" ht="15.75" spans="1:7">
      <c r="A130" s="176" t="s">
        <v>45</v>
      </c>
      <c r="B130" s="22" t="s">
        <v>59</v>
      </c>
      <c r="C130" s="191">
        <v>0.0413</v>
      </c>
      <c r="D130" s="178">
        <f>TRUNC((C130*(D125+D129)),2)</f>
        <v>161.42</v>
      </c>
      <c r="E130" s="22"/>
      <c r="F130" s="212" t="s">
        <v>226</v>
      </c>
      <c r="G130" s="213">
        <f>TRUNC(SUM(D125,D129,D130),2)</f>
        <v>4069.99</v>
      </c>
    </row>
    <row r="131" ht="15.75" spans="1:7">
      <c r="A131" s="176" t="s">
        <v>48</v>
      </c>
      <c r="B131" s="22" t="s">
        <v>168</v>
      </c>
      <c r="C131" s="191">
        <f>SUM(C132:C134)</f>
        <v>0.0865</v>
      </c>
      <c r="D131" s="178">
        <f>TRUNC((SUM(D132:D134)),2)</f>
        <v>385.37</v>
      </c>
      <c r="E131" s="22"/>
      <c r="F131" s="211" t="s">
        <v>227</v>
      </c>
      <c r="G131" s="214">
        <f>(100-8.65)/100</f>
        <v>0.9135</v>
      </c>
    </row>
    <row r="132" ht="15.75" spans="1:7">
      <c r="A132" s="176"/>
      <c r="B132" s="22" t="s">
        <v>228</v>
      </c>
      <c r="C132" s="191">
        <v>0.0065</v>
      </c>
      <c r="D132" s="178">
        <f t="shared" ref="D132:D134" si="3">TRUNC(($G$132*C132),2)</f>
        <v>28.95</v>
      </c>
      <c r="E132" s="22"/>
      <c r="F132" s="212" t="s">
        <v>224</v>
      </c>
      <c r="G132" s="213">
        <f>TRUNC((G130/G131),2)</f>
        <v>4455.38</v>
      </c>
    </row>
    <row r="133" ht="15.75" spans="1:7">
      <c r="A133" s="176"/>
      <c r="B133" s="22" t="s">
        <v>229</v>
      </c>
      <c r="C133" s="191">
        <v>0.03</v>
      </c>
      <c r="D133" s="178">
        <f t="shared" si="3"/>
        <v>133.66</v>
      </c>
      <c r="E133" s="22"/>
      <c r="F133" s="22"/>
      <c r="G133" s="22"/>
    </row>
    <row r="134" spans="1:7">
      <c r="A134" s="176"/>
      <c r="B134" s="22" t="s">
        <v>230</v>
      </c>
      <c r="C134" s="191">
        <v>0.05</v>
      </c>
      <c r="D134" s="178">
        <f t="shared" si="3"/>
        <v>222.76</v>
      </c>
      <c r="E134" s="22"/>
      <c r="F134" s="22"/>
      <c r="G134" s="22"/>
    </row>
    <row r="135" spans="1:7">
      <c r="A135" s="176" t="s">
        <v>58</v>
      </c>
      <c r="B135" s="22"/>
      <c r="C135" s="176"/>
      <c r="D135" s="181">
        <f>TRUNC(SUM(D129:D131),2)</f>
        <v>711.51</v>
      </c>
      <c r="E135" s="22"/>
      <c r="F135" s="22"/>
      <c r="G135" s="22"/>
    </row>
    <row r="136" spans="1:7">
      <c r="A136" s="176"/>
      <c r="B136" s="22"/>
      <c r="C136" s="176"/>
      <c r="D136" s="181"/>
      <c r="E136" s="22"/>
      <c r="F136" s="22"/>
      <c r="G136" s="22"/>
    </row>
    <row r="137" spans="1:7">
      <c r="A137" s="22"/>
      <c r="B137" s="22"/>
      <c r="C137" s="22"/>
      <c r="D137" s="22"/>
      <c r="E137" s="22"/>
      <c r="F137" s="22"/>
      <c r="G137" s="22"/>
    </row>
    <row r="138" spans="1:7">
      <c r="A138" s="159" t="s">
        <v>172</v>
      </c>
      <c r="B138" s="159"/>
      <c r="C138" s="159"/>
      <c r="D138" s="159"/>
      <c r="E138" s="22"/>
      <c r="F138" s="22"/>
      <c r="G138" s="22"/>
    </row>
    <row r="139" spans="1:7">
      <c r="A139" s="176" t="s">
        <v>16</v>
      </c>
      <c r="B139" s="176" t="s">
        <v>173</v>
      </c>
      <c r="C139" s="176" t="s">
        <v>102</v>
      </c>
      <c r="D139" s="176" t="s">
        <v>19</v>
      </c>
      <c r="E139" s="22"/>
      <c r="F139" s="22"/>
      <c r="G139" s="22"/>
    </row>
    <row r="140" spans="1:7">
      <c r="A140" s="176" t="s">
        <v>42</v>
      </c>
      <c r="B140" s="22" t="s">
        <v>36</v>
      </c>
      <c r="C140" s="22"/>
      <c r="D140" s="181">
        <f>D31</f>
        <v>1640</v>
      </c>
      <c r="E140" s="22"/>
      <c r="F140" s="22"/>
      <c r="G140" s="22"/>
    </row>
    <row r="141" spans="1:7">
      <c r="A141" s="176" t="s">
        <v>45</v>
      </c>
      <c r="B141" s="22" t="s">
        <v>61</v>
      </c>
      <c r="C141" s="22"/>
      <c r="D141" s="181">
        <f>D72</f>
        <v>1528.28</v>
      </c>
      <c r="E141" s="22"/>
      <c r="F141" s="22"/>
      <c r="G141" s="22"/>
    </row>
    <row r="142" spans="1:7">
      <c r="A142" s="176" t="s">
        <v>48</v>
      </c>
      <c r="B142" s="22" t="s">
        <v>108</v>
      </c>
      <c r="C142" s="22"/>
      <c r="D142" s="181">
        <f>D82</f>
        <v>102.18</v>
      </c>
      <c r="E142" s="22"/>
      <c r="F142" s="22"/>
      <c r="G142" s="22"/>
    </row>
    <row r="143" spans="1:7">
      <c r="A143" s="176" t="s">
        <v>50</v>
      </c>
      <c r="B143" s="22" t="s">
        <v>174</v>
      </c>
      <c r="C143" s="22"/>
      <c r="D143" s="181">
        <f>D109</f>
        <v>86.58</v>
      </c>
      <c r="E143" s="22"/>
      <c r="F143" s="22"/>
      <c r="G143" s="22"/>
    </row>
    <row r="144" spans="1:7">
      <c r="A144" s="176" t="s">
        <v>53</v>
      </c>
      <c r="B144" s="22" t="s">
        <v>152</v>
      </c>
      <c r="C144" s="22"/>
      <c r="D144" s="181">
        <f>D118</f>
        <v>386.81</v>
      </c>
      <c r="E144" s="22"/>
      <c r="F144" s="22"/>
      <c r="G144" s="22"/>
    </row>
    <row r="145" spans="1:7">
      <c r="A145" s="22"/>
      <c r="B145" s="215" t="s">
        <v>175</v>
      </c>
      <c r="C145" s="22"/>
      <c r="D145" s="181">
        <f>TRUNC(SUM(D140:D144),2)</f>
        <v>3743.85</v>
      </c>
      <c r="E145" s="22"/>
      <c r="F145" s="22"/>
      <c r="G145" s="22"/>
    </row>
    <row r="146" spans="1:7">
      <c r="A146" s="176" t="s">
        <v>55</v>
      </c>
      <c r="B146" s="22" t="s">
        <v>164</v>
      </c>
      <c r="C146" s="22"/>
      <c r="D146" s="181">
        <f>D135</f>
        <v>711.51</v>
      </c>
      <c r="E146" s="22"/>
      <c r="F146" s="22"/>
      <c r="G146" s="22"/>
    </row>
    <row r="147" spans="1:7">
      <c r="A147" s="216"/>
      <c r="B147" s="217" t="s">
        <v>231</v>
      </c>
      <c r="C147" s="216"/>
      <c r="D147" s="218">
        <f>TRUNC((SUM(D140:D144)+D146),2)</f>
        <v>4455.36</v>
      </c>
      <c r="E147" s="22"/>
      <c r="F147" s="22"/>
      <c r="G147" s="22"/>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2"/>
  <sheetViews>
    <sheetView workbookViewId="0">
      <selection activeCell="B1" sqref="B1:E23"/>
    </sheetView>
  </sheetViews>
  <sheetFormatPr defaultColWidth="8.88571428571429" defaultRowHeight="15"/>
  <cols>
    <col min="2" max="2" width="36.3333333333333" customWidth="1"/>
    <col min="3" max="3" width="24.1142857142857" customWidth="1"/>
    <col min="4" max="4" width="13" customWidth="1"/>
    <col min="5" max="5" width="30.6666666666667" customWidth="1"/>
    <col min="9" max="9" width="22.552380952381" customWidth="1"/>
    <col min="10" max="10" width="17.7809523809524" customWidth="1"/>
  </cols>
  <sheetData>
    <row r="1" ht="16.5" spans="2:10">
      <c r="B1" s="94" t="s">
        <v>255</v>
      </c>
      <c r="C1" s="95"/>
      <c r="D1" s="95"/>
      <c r="E1" s="96"/>
      <c r="F1" s="8"/>
      <c r="G1" s="8"/>
      <c r="H1" s="8"/>
      <c r="I1" s="8"/>
      <c r="J1" s="8"/>
    </row>
    <row r="2" ht="33" spans="2:10">
      <c r="B2" s="97" t="s">
        <v>256</v>
      </c>
      <c r="C2" s="98" t="s">
        <v>257</v>
      </c>
      <c r="D2" s="99" t="s">
        <v>258</v>
      </c>
      <c r="E2" s="100"/>
      <c r="F2" s="8"/>
      <c r="G2" s="8"/>
      <c r="H2" s="8"/>
      <c r="I2" s="8"/>
      <c r="J2" s="8"/>
    </row>
    <row r="3" ht="17.25" spans="2:10">
      <c r="B3" s="101" t="s">
        <v>259</v>
      </c>
      <c r="C3" s="102" t="s">
        <v>260</v>
      </c>
      <c r="D3" s="103" t="s">
        <v>261</v>
      </c>
      <c r="E3" s="104"/>
      <c r="F3" s="8"/>
      <c r="G3" s="8"/>
      <c r="H3" s="8"/>
      <c r="I3" s="8"/>
      <c r="J3" s="8"/>
    </row>
    <row r="4" ht="17.25" spans="2:10">
      <c r="B4" s="105">
        <f>RESUMO!D9</f>
        <v>48</v>
      </c>
      <c r="C4" s="106">
        <f>E19</f>
        <v>190.08</v>
      </c>
      <c r="D4" s="107">
        <f>TRUNC((B4*C4),2)</f>
        <v>9123.84</v>
      </c>
      <c r="E4" s="108"/>
      <c r="F4" s="8"/>
      <c r="G4" s="8"/>
      <c r="H4" s="109"/>
      <c r="I4" s="109"/>
      <c r="J4" s="109"/>
    </row>
    <row r="5" ht="17.25" spans="2:10">
      <c r="B5" s="110"/>
      <c r="C5" s="111"/>
      <c r="D5" s="111"/>
      <c r="E5" s="112"/>
      <c r="F5" s="8"/>
      <c r="G5" s="8"/>
      <c r="H5" s="109"/>
      <c r="I5" s="144" t="s">
        <v>224</v>
      </c>
      <c r="J5" s="145"/>
    </row>
    <row r="6" ht="17.25" spans="2:10">
      <c r="B6" s="110"/>
      <c r="C6" s="111"/>
      <c r="D6" s="111"/>
      <c r="E6" s="112"/>
      <c r="F6" s="8"/>
      <c r="G6" s="8"/>
      <c r="H6" s="109"/>
      <c r="I6" s="146" t="s">
        <v>225</v>
      </c>
      <c r="J6" s="147">
        <f>D18</f>
        <v>0.0865</v>
      </c>
    </row>
    <row r="7" ht="16.5" spans="2:10">
      <c r="B7" s="94" t="s">
        <v>262</v>
      </c>
      <c r="C7" s="95"/>
      <c r="D7" s="95"/>
      <c r="E7" s="96"/>
      <c r="F7" s="8"/>
      <c r="G7" s="8"/>
      <c r="H7" s="109"/>
      <c r="I7" s="148" t="s">
        <v>263</v>
      </c>
      <c r="J7" s="149">
        <f>E13</f>
        <v>173.64</v>
      </c>
    </row>
    <row r="8" ht="17.25" spans="2:10">
      <c r="B8" s="98" t="s">
        <v>264</v>
      </c>
      <c r="C8" s="98"/>
      <c r="D8" s="98"/>
      <c r="E8" s="113">
        <v>160</v>
      </c>
      <c r="F8" s="8"/>
      <c r="G8" s="8"/>
      <c r="H8" s="109"/>
      <c r="I8" s="146" t="s">
        <v>265</v>
      </c>
      <c r="J8" s="150">
        <f>(1-J6)</f>
        <v>0.9135</v>
      </c>
    </row>
    <row r="9" ht="16.5" spans="2:10">
      <c r="B9" s="114" t="s">
        <v>266</v>
      </c>
      <c r="C9" s="115"/>
      <c r="D9" s="116" t="s">
        <v>267</v>
      </c>
      <c r="E9" s="117" t="s">
        <v>268</v>
      </c>
      <c r="F9" s="8"/>
      <c r="G9" s="8"/>
      <c r="H9" s="109"/>
      <c r="I9" s="151"/>
      <c r="J9" s="151"/>
    </row>
    <row r="10" ht="15.75" spans="2:10">
      <c r="B10" s="118" t="s">
        <v>269</v>
      </c>
      <c r="C10" s="119"/>
      <c r="D10" s="120">
        <f>'Motorista Interestadual'!C129</f>
        <v>0.044</v>
      </c>
      <c r="E10" s="121">
        <f>TRUNC((E8*D10),2)</f>
        <v>7.04</v>
      </c>
      <c r="F10" s="8"/>
      <c r="G10" s="8"/>
      <c r="H10" s="109"/>
      <c r="I10" s="151"/>
      <c r="J10" s="151"/>
    </row>
    <row r="11" ht="16.5" spans="2:10">
      <c r="B11" s="122" t="s">
        <v>270</v>
      </c>
      <c r="C11" s="123"/>
      <c r="D11" s="120">
        <f>'Motorista Interestadual'!C130</f>
        <v>0.0413</v>
      </c>
      <c r="E11" s="121">
        <f>TRUNC((E8*D11),2)</f>
        <v>6.6</v>
      </c>
      <c r="F11" s="8"/>
      <c r="G11" s="8"/>
      <c r="H11" s="109"/>
      <c r="I11" s="109"/>
      <c r="J11" s="109"/>
    </row>
    <row r="12" ht="17.25" spans="2:10">
      <c r="B12" s="124" t="s">
        <v>271</v>
      </c>
      <c r="C12" s="99"/>
      <c r="D12" s="100"/>
      <c r="E12" s="125">
        <f>TRUNC((SUM(E10:E11)),2)</f>
        <v>13.64</v>
      </c>
      <c r="F12" s="8"/>
      <c r="G12" s="8"/>
      <c r="H12" s="109"/>
      <c r="I12" s="109"/>
      <c r="J12" s="109"/>
    </row>
    <row r="13" ht="17.25" spans="2:10">
      <c r="B13" s="126" t="s">
        <v>204</v>
      </c>
      <c r="C13" s="127"/>
      <c r="D13" s="128"/>
      <c r="E13" s="125">
        <f>TRUNC((E8+E12),2)</f>
        <v>173.64</v>
      </c>
      <c r="F13" s="8"/>
      <c r="G13" s="8"/>
      <c r="H13" s="109"/>
      <c r="I13" s="109"/>
      <c r="J13" s="109"/>
    </row>
    <row r="14" ht="16.5" spans="2:10">
      <c r="B14" s="129" t="s">
        <v>272</v>
      </c>
      <c r="C14" s="130"/>
      <c r="D14" s="131" t="s">
        <v>267</v>
      </c>
      <c r="E14" s="132" t="s">
        <v>273</v>
      </c>
      <c r="F14" s="8"/>
      <c r="G14" s="8"/>
      <c r="H14" s="8"/>
      <c r="I14" s="8"/>
      <c r="J14" s="8"/>
    </row>
    <row r="15" ht="15.75" spans="2:10">
      <c r="B15" s="118" t="s">
        <v>64</v>
      </c>
      <c r="C15" s="119"/>
      <c r="D15" s="120">
        <f>'Motorista Interestadual'!C132</f>
        <v>0.0065</v>
      </c>
      <c r="E15" s="121">
        <f>(J7/J8)*(D15)</f>
        <v>1.23553366174056</v>
      </c>
      <c r="F15" s="8"/>
      <c r="G15" s="8"/>
      <c r="H15" s="8"/>
      <c r="I15" s="8"/>
      <c r="J15" s="8"/>
    </row>
    <row r="16" ht="15.75" spans="2:10">
      <c r="B16" s="122" t="s">
        <v>62</v>
      </c>
      <c r="C16" s="123"/>
      <c r="D16" s="120">
        <f>'Motorista Interestadual'!C133</f>
        <v>0.03</v>
      </c>
      <c r="E16" s="121">
        <f>(J7/J8)*(D16)</f>
        <v>5.70246305418719</v>
      </c>
      <c r="F16" s="8"/>
      <c r="G16" s="8"/>
      <c r="H16" s="8"/>
      <c r="I16" s="8"/>
      <c r="J16" s="8"/>
    </row>
    <row r="17" ht="15.75" spans="2:10">
      <c r="B17" s="118" t="s">
        <v>60</v>
      </c>
      <c r="C17" s="119"/>
      <c r="D17" s="120">
        <f>'Motorista Interestadual'!C134</f>
        <v>0.05</v>
      </c>
      <c r="E17" s="133">
        <f>(E13/J8)*(D17)</f>
        <v>9.50410509031199</v>
      </c>
      <c r="F17" s="8"/>
      <c r="G17" s="8"/>
      <c r="H17" s="8"/>
      <c r="I17" s="8"/>
      <c r="J17" s="8"/>
    </row>
    <row r="18" ht="16.5" spans="2:10">
      <c r="B18" s="134" t="s">
        <v>225</v>
      </c>
      <c r="C18" s="135"/>
      <c r="D18" s="136">
        <f>SUM(D15:D17)</f>
        <v>0.0865</v>
      </c>
      <c r="E18" s="137">
        <f>SUM(E15:E17)</f>
        <v>16.4421018062397</v>
      </c>
      <c r="F18" s="8"/>
      <c r="G18" s="8"/>
      <c r="H18" s="8"/>
      <c r="I18" s="8"/>
      <c r="J18" s="8"/>
    </row>
    <row r="19" ht="17.25" spans="2:10">
      <c r="B19" s="138" t="s">
        <v>204</v>
      </c>
      <c r="C19" s="139"/>
      <c r="D19" s="140"/>
      <c r="E19" s="141">
        <f>TRUNC((E13+E18),2)</f>
        <v>190.08</v>
      </c>
      <c r="F19" s="8"/>
      <c r="G19" s="8"/>
      <c r="H19" s="8"/>
      <c r="I19" s="8"/>
      <c r="J19" s="8"/>
    </row>
    <row r="20" ht="15.75" spans="2:10">
      <c r="B20" s="142"/>
      <c r="C20" s="142"/>
      <c r="D20" s="142"/>
      <c r="E20" s="142"/>
      <c r="F20" s="8"/>
      <c r="G20" s="8"/>
      <c r="H20" s="8"/>
      <c r="I20" s="8"/>
      <c r="J20" s="8"/>
    </row>
    <row r="21" spans="2:10">
      <c r="B21" s="143" t="s">
        <v>274</v>
      </c>
      <c r="C21" s="143"/>
      <c r="D21" s="143"/>
      <c r="E21" s="143"/>
      <c r="F21" s="8"/>
      <c r="G21" s="8"/>
      <c r="H21" s="8"/>
      <c r="I21" s="8"/>
      <c r="J21" s="8"/>
    </row>
    <row r="22" spans="2:10">
      <c r="B22" s="143" t="s">
        <v>275</v>
      </c>
      <c r="C22" s="143"/>
      <c r="D22" s="143"/>
      <c r="E22" s="143"/>
      <c r="F22" s="8"/>
      <c r="G22" s="8"/>
      <c r="H22" s="8"/>
      <c r="I22" s="8"/>
      <c r="J22" s="8"/>
    </row>
  </sheetData>
  <mergeCells count="20">
    <mergeCell ref="B1:E1"/>
    <mergeCell ref="D2:E2"/>
    <mergeCell ref="D3:E3"/>
    <mergeCell ref="D4:E4"/>
    <mergeCell ref="I5:J5"/>
    <mergeCell ref="B7:E7"/>
    <mergeCell ref="B8:D8"/>
    <mergeCell ref="B9:C9"/>
    <mergeCell ref="B10:C10"/>
    <mergeCell ref="B11:C11"/>
    <mergeCell ref="B12:D12"/>
    <mergeCell ref="B13:D13"/>
    <mergeCell ref="B14:C14"/>
    <mergeCell ref="B15:C15"/>
    <mergeCell ref="B16:C16"/>
    <mergeCell ref="B17:C17"/>
    <mergeCell ref="B18:C18"/>
    <mergeCell ref="B19:D19"/>
    <mergeCell ref="B21:E21"/>
    <mergeCell ref="B22:E22"/>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LibreOffice/6.1.5.2$Windows_X86_64 LibreOffice_project/90f8dcf33c87b3705e78202e3df5142b201bd805</Application>
  <HeadingPairs>
    <vt:vector size="2" baseType="variant">
      <vt:variant>
        <vt:lpstr>工作表</vt:lpstr>
      </vt:variant>
      <vt:variant>
        <vt:i4>13</vt:i4>
      </vt:variant>
    </vt:vector>
  </HeadingPairs>
  <TitlesOfParts>
    <vt:vector size="13" baseType="lpstr">
      <vt:lpstr>Orientações</vt:lpstr>
      <vt:lpstr>Servente</vt:lpstr>
      <vt:lpstr>Auxiliar Administrativo</vt:lpstr>
      <vt:lpstr>Copeiro (a)</vt:lpstr>
      <vt:lpstr>Portaria</vt:lpstr>
      <vt:lpstr>Motorista Interestadual</vt:lpstr>
      <vt:lpstr>Eletricista</vt:lpstr>
      <vt:lpstr>Aulixiar de Manutenção Predial</vt:lpstr>
      <vt:lpstr>Diárias</vt:lpstr>
      <vt:lpstr>Uniformes</vt:lpstr>
      <vt:lpstr>Materiais e Equipamentos</vt:lpstr>
      <vt:lpstr>EPC</vt:lpstr>
      <vt:lpstr>RESUMO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IFPB</cp:lastModifiedBy>
  <cp:revision>3</cp:revision>
  <dcterms:created xsi:type="dcterms:W3CDTF">2019-02-19T21:25:00Z</dcterms:created>
  <cp:lastPrinted>2020-02-20T19:26:00Z</cp:lastPrinted>
  <dcterms:modified xsi:type="dcterms:W3CDTF">2021-07-27T17:20:41Z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KSOProductBuildVer">
    <vt:lpwstr>1046-11.2.0.10223</vt:lpwstr>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